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date1904="1" showInkAnnotation="0" autoCompressPictures="0"/>
  <bookViews>
    <workbookView xWindow="240" yWindow="0" windowWidth="28800" windowHeight="16920" tabRatio="500" firstSheet="1" activeTab="1"/>
  </bookViews>
  <sheets>
    <sheet name="Sheet1 (2)" sheetId="3" state="hidden" r:id="rId1"/>
    <sheet name="EHA 2015 Dimensions budget" sheetId="9" r:id="rId2"/>
    <sheet name="v.05" sheetId="18" r:id="rId3"/>
    <sheet name="EHA travel" sheetId="14" r:id="rId4"/>
    <sheet name="Participant support" sheetId="15" r:id="rId5"/>
    <sheet name="UNAM travel" sheetId="11" r:id="rId6"/>
    <sheet name="Columbia travel" sheetId="16" r:id="rId7"/>
  </sheets>
  <externalReferences>
    <externalReference r:id="rId8"/>
  </externalReferences>
  <definedNames>
    <definedName name="_xlnm.Print_Area" localSheetId="1">'EHA 2015 Dimensions budget'!$A$1:$J$119</definedName>
    <definedName name="_xlnm.Print_Area" localSheetId="2">v.05!$E$1:$I$33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" i="14" l="1"/>
  <c r="G11" i="14"/>
  <c r="F11" i="14"/>
  <c r="D11" i="14"/>
  <c r="F31" i="9"/>
  <c r="H23" i="14"/>
  <c r="F24" i="9"/>
  <c r="F25" i="9"/>
  <c r="F16" i="9"/>
  <c r="G16" i="9"/>
  <c r="F17" i="9"/>
  <c r="F18" i="9"/>
  <c r="F13" i="9"/>
  <c r="G13" i="9"/>
  <c r="H13" i="9"/>
  <c r="F14" i="9"/>
  <c r="F15" i="9"/>
  <c r="F10" i="9"/>
  <c r="G10" i="9"/>
  <c r="H10" i="9"/>
  <c r="F11" i="9"/>
  <c r="F12" i="9"/>
  <c r="F7" i="9"/>
  <c r="G7" i="9"/>
  <c r="H7" i="9"/>
  <c r="F8" i="9"/>
  <c r="F9" i="9"/>
  <c r="F4" i="9"/>
  <c r="G4" i="9"/>
  <c r="H4" i="9"/>
  <c r="F5" i="9"/>
  <c r="F6" i="9"/>
  <c r="F19" i="9"/>
  <c r="F20" i="9"/>
  <c r="F21" i="9"/>
  <c r="F32" i="9"/>
  <c r="F33" i="9"/>
  <c r="F37" i="9"/>
  <c r="G31" i="9"/>
  <c r="I13" i="14"/>
  <c r="I23" i="14"/>
  <c r="G24" i="9"/>
  <c r="G25" i="9"/>
  <c r="G17" i="9"/>
  <c r="G18" i="9"/>
  <c r="G14" i="9"/>
  <c r="G15" i="9"/>
  <c r="G11" i="9"/>
  <c r="G12" i="9"/>
  <c r="G8" i="9"/>
  <c r="G9" i="9"/>
  <c r="G5" i="9"/>
  <c r="G6" i="9"/>
  <c r="G19" i="9"/>
  <c r="G20" i="9"/>
  <c r="G21" i="9"/>
  <c r="G32" i="9"/>
  <c r="G33" i="9"/>
  <c r="G37" i="9"/>
  <c r="H31" i="9"/>
  <c r="G21" i="14"/>
  <c r="J21" i="14"/>
  <c r="J23" i="14"/>
  <c r="H24" i="9"/>
  <c r="H25" i="9"/>
  <c r="H14" i="9"/>
  <c r="H15" i="9"/>
  <c r="H11" i="9"/>
  <c r="H12" i="9"/>
  <c r="H8" i="9"/>
  <c r="H9" i="9"/>
  <c r="H5" i="9"/>
  <c r="H6" i="9"/>
  <c r="H19" i="9"/>
  <c r="H20" i="9"/>
  <c r="H21" i="9"/>
  <c r="H32" i="9"/>
  <c r="H33" i="9"/>
  <c r="H37" i="9"/>
  <c r="I37" i="9"/>
  <c r="I28" i="9"/>
  <c r="I29" i="9"/>
  <c r="I30" i="9"/>
  <c r="I31" i="9"/>
  <c r="I25" i="9"/>
  <c r="I21" i="9"/>
  <c r="I26" i="9"/>
  <c r="I32" i="9"/>
  <c r="J37" i="9"/>
  <c r="F117" i="9"/>
  <c r="F118" i="9"/>
  <c r="F103" i="9"/>
  <c r="F89" i="9"/>
  <c r="G89" i="9"/>
  <c r="H89" i="9"/>
  <c r="F90" i="9"/>
  <c r="F91" i="9"/>
  <c r="G91" i="9"/>
  <c r="H91" i="9"/>
  <c r="F92" i="9"/>
  <c r="F93" i="9"/>
  <c r="G93" i="9"/>
  <c r="H93" i="9"/>
  <c r="F94" i="9"/>
  <c r="F95" i="9"/>
  <c r="G95" i="9"/>
  <c r="H95" i="9"/>
  <c r="F96" i="9"/>
  <c r="F98" i="9"/>
  <c r="F119" i="9"/>
  <c r="F36" i="9"/>
  <c r="G117" i="9"/>
  <c r="G118" i="9"/>
  <c r="G103" i="9"/>
  <c r="G90" i="9"/>
  <c r="G92" i="9"/>
  <c r="G94" i="9"/>
  <c r="G96" i="9"/>
  <c r="G98" i="9"/>
  <c r="G119" i="9"/>
  <c r="G36" i="9"/>
  <c r="H117" i="9"/>
  <c r="H118" i="9"/>
  <c r="H103" i="9"/>
  <c r="H90" i="9"/>
  <c r="H92" i="9"/>
  <c r="H94" i="9"/>
  <c r="H96" i="9"/>
  <c r="H97" i="9"/>
  <c r="H98" i="9"/>
  <c r="H119" i="9"/>
  <c r="H36" i="9"/>
  <c r="I36" i="9"/>
  <c r="F81" i="9"/>
  <c r="F82" i="9"/>
  <c r="F66" i="9"/>
  <c r="F57" i="9"/>
  <c r="F59" i="9"/>
  <c r="F54" i="9"/>
  <c r="F56" i="9"/>
  <c r="F51" i="9"/>
  <c r="F53" i="9"/>
  <c r="F48" i="9"/>
  <c r="F50" i="9"/>
  <c r="F45" i="9"/>
  <c r="G45" i="9"/>
  <c r="H45" i="9"/>
  <c r="F46" i="9"/>
  <c r="F47" i="9"/>
  <c r="F42" i="9"/>
  <c r="G42" i="9"/>
  <c r="H42" i="9"/>
  <c r="F43" i="9"/>
  <c r="F44" i="9"/>
  <c r="F60" i="9"/>
  <c r="F61" i="9"/>
  <c r="F62" i="9"/>
  <c r="F83" i="9"/>
  <c r="F84" i="9"/>
  <c r="F85" i="9"/>
  <c r="F35" i="9"/>
  <c r="G81" i="9"/>
  <c r="G82" i="9"/>
  <c r="G66" i="9"/>
  <c r="G57" i="9"/>
  <c r="G59" i="9"/>
  <c r="G54" i="9"/>
  <c r="H54" i="9"/>
  <c r="G55" i="9"/>
  <c r="G56" i="9"/>
  <c r="G51" i="9"/>
  <c r="H51" i="9"/>
  <c r="G52" i="9"/>
  <c r="G53" i="9"/>
  <c r="G48" i="9"/>
  <c r="H48" i="9"/>
  <c r="G49" i="9"/>
  <c r="G50" i="9"/>
  <c r="G46" i="9"/>
  <c r="G47" i="9"/>
  <c r="G43" i="9"/>
  <c r="G44" i="9"/>
  <c r="G60" i="9"/>
  <c r="H57" i="9"/>
  <c r="G58" i="9"/>
  <c r="G61" i="9"/>
  <c r="G62" i="9"/>
  <c r="G83" i="9"/>
  <c r="G84" i="9"/>
  <c r="G85" i="9"/>
  <c r="G35" i="9"/>
  <c r="H81" i="9"/>
  <c r="H82" i="9"/>
  <c r="H66" i="9"/>
  <c r="H59" i="9"/>
  <c r="H55" i="9"/>
  <c r="H56" i="9"/>
  <c r="H52" i="9"/>
  <c r="H53" i="9"/>
  <c r="H49" i="9"/>
  <c r="H50" i="9"/>
  <c r="H46" i="9"/>
  <c r="H47" i="9"/>
  <c r="H43" i="9"/>
  <c r="H44" i="9"/>
  <c r="H60" i="9"/>
  <c r="H58" i="9"/>
  <c r="H61" i="9"/>
  <c r="H62" i="9"/>
  <c r="H83" i="9"/>
  <c r="H84" i="9"/>
  <c r="H85" i="9"/>
  <c r="H35" i="9"/>
  <c r="I35" i="9"/>
  <c r="J38" i="9"/>
  <c r="K38" i="9"/>
  <c r="G34" i="9"/>
  <c r="H34" i="9"/>
  <c r="F34" i="9"/>
  <c r="G10" i="14"/>
  <c r="H10" i="14"/>
  <c r="F28" i="9"/>
  <c r="F38" i="9"/>
  <c r="G38" i="9"/>
  <c r="H38" i="9"/>
  <c r="I38" i="9"/>
  <c r="F10" i="14"/>
  <c r="D10" i="14"/>
  <c r="G28" i="9"/>
  <c r="H28" i="9"/>
  <c r="F4" i="14"/>
  <c r="F16" i="14"/>
  <c r="G16" i="14"/>
  <c r="D16" i="14"/>
  <c r="I16" i="14"/>
  <c r="J17" i="14"/>
  <c r="F13" i="14"/>
  <c r="D13" i="14"/>
  <c r="D12" i="14"/>
  <c r="F12" i="14"/>
  <c r="G12" i="14"/>
  <c r="H12" i="14"/>
  <c r="F15" i="14"/>
  <c r="G15" i="14"/>
  <c r="D15" i="14"/>
  <c r="H15" i="14"/>
  <c r="D14" i="14"/>
  <c r="F14" i="14"/>
  <c r="G14" i="14"/>
  <c r="I14" i="14"/>
  <c r="I15" i="14"/>
  <c r="J15" i="14"/>
  <c r="A30" i="14"/>
  <c r="A31" i="14"/>
  <c r="F21" i="14"/>
  <c r="D21" i="14"/>
  <c r="J20" i="14"/>
  <c r="J25" i="14"/>
  <c r="F28" i="11"/>
  <c r="F110" i="9"/>
  <c r="G107" i="9"/>
  <c r="I119" i="9"/>
  <c r="F115" i="9"/>
  <c r="F109" i="9"/>
  <c r="F112" i="9"/>
  <c r="F116" i="9"/>
  <c r="F99" i="9"/>
  <c r="G99" i="9"/>
  <c r="H99" i="9"/>
  <c r="F27" i="11"/>
  <c r="F26" i="11"/>
  <c r="C6" i="15"/>
  <c r="E6" i="15"/>
  <c r="F6" i="15"/>
  <c r="G6" i="15"/>
  <c r="B16" i="15"/>
  <c r="E4" i="15"/>
  <c r="F4" i="15"/>
  <c r="G4" i="15"/>
  <c r="C5" i="15"/>
  <c r="E5" i="15"/>
  <c r="F5" i="15"/>
  <c r="G5" i="15"/>
  <c r="G8" i="15"/>
  <c r="F26" i="9"/>
  <c r="D10" i="9"/>
  <c r="D4" i="9"/>
  <c r="H4" i="15"/>
  <c r="A11" i="15"/>
  <c r="A12" i="15"/>
  <c r="E2" i="15"/>
  <c r="F2" i="15"/>
  <c r="I2" i="15"/>
  <c r="H2" i="15"/>
  <c r="I8" i="15"/>
  <c r="C3" i="15"/>
  <c r="E3" i="15"/>
  <c r="F3" i="15"/>
  <c r="H3" i="15"/>
  <c r="H8" i="15"/>
  <c r="G26" i="9"/>
  <c r="H26" i="9"/>
  <c r="H64" i="9"/>
  <c r="H65" i="9"/>
  <c r="K15" i="14"/>
  <c r="D17" i="14"/>
  <c r="F17" i="14"/>
  <c r="B44" i="11"/>
  <c r="B43" i="11"/>
  <c r="D10" i="11"/>
  <c r="E10" i="11"/>
  <c r="F10" i="11"/>
  <c r="D14" i="11"/>
  <c r="E14" i="11"/>
  <c r="F14" i="11"/>
  <c r="D18" i="11"/>
  <c r="E18" i="11"/>
  <c r="F18" i="11"/>
  <c r="D22" i="11"/>
  <c r="E22" i="11"/>
  <c r="F22" i="11"/>
  <c r="D6" i="11"/>
  <c r="E6" i="11"/>
  <c r="F6" i="11"/>
  <c r="D8" i="11"/>
  <c r="E8" i="11"/>
  <c r="G8" i="11"/>
  <c r="D12" i="11"/>
  <c r="E12" i="11"/>
  <c r="G12" i="11"/>
  <c r="D16" i="11"/>
  <c r="E16" i="11"/>
  <c r="G16" i="11"/>
  <c r="D20" i="11"/>
  <c r="E20" i="11"/>
  <c r="G20" i="11"/>
  <c r="D24" i="11"/>
  <c r="E24" i="11"/>
  <c r="G24" i="11"/>
  <c r="G27" i="11"/>
  <c r="B42" i="11"/>
  <c r="G26" i="11"/>
  <c r="I97" i="9"/>
  <c r="D9" i="11"/>
  <c r="E9" i="11"/>
  <c r="G9" i="11"/>
  <c r="D13" i="11"/>
  <c r="E13" i="11"/>
  <c r="G13" i="11"/>
  <c r="D17" i="11"/>
  <c r="E17" i="11"/>
  <c r="G17" i="11"/>
  <c r="D21" i="11"/>
  <c r="E21" i="11"/>
  <c r="G21" i="11"/>
  <c r="D25" i="11"/>
  <c r="E25" i="11"/>
  <c r="G25" i="11"/>
  <c r="D3" i="11"/>
  <c r="D28" i="11"/>
  <c r="E28" i="11"/>
  <c r="G28" i="11"/>
  <c r="G34" i="11"/>
  <c r="D7" i="11"/>
  <c r="E7" i="11"/>
  <c r="F7" i="11"/>
  <c r="D11" i="11"/>
  <c r="E11" i="11"/>
  <c r="F11" i="11"/>
  <c r="D15" i="11"/>
  <c r="E15" i="11"/>
  <c r="F15" i="11"/>
  <c r="D19" i="11"/>
  <c r="E19" i="11"/>
  <c r="F19" i="11"/>
  <c r="D23" i="11"/>
  <c r="E23" i="11"/>
  <c r="F23" i="11"/>
  <c r="F34" i="11"/>
  <c r="H28" i="11"/>
  <c r="H29" i="11"/>
  <c r="H34" i="11"/>
  <c r="I19" i="14"/>
  <c r="I25" i="14"/>
  <c r="H25" i="14"/>
  <c r="F64" i="9"/>
  <c r="D7" i="16"/>
  <c r="F7" i="16"/>
  <c r="G7" i="16"/>
  <c r="H7" i="16"/>
  <c r="H13" i="16"/>
  <c r="F65" i="9"/>
  <c r="I10" i="16"/>
  <c r="I12" i="16"/>
  <c r="G64" i="9"/>
  <c r="I13" i="16"/>
  <c r="G65" i="9"/>
  <c r="J12" i="16"/>
  <c r="J13" i="16"/>
  <c r="I85" i="9"/>
  <c r="F95" i="18"/>
  <c r="F97" i="18"/>
  <c r="F98" i="18"/>
  <c r="F101" i="18"/>
  <c r="F103" i="18"/>
  <c r="F104" i="18"/>
  <c r="F105" i="18"/>
  <c r="F88" i="18"/>
  <c r="F89" i="18"/>
  <c r="F84" i="18"/>
  <c r="F78" i="18"/>
  <c r="F79" i="18"/>
  <c r="F80" i="18"/>
  <c r="F81" i="18"/>
  <c r="F83" i="18"/>
  <c r="F106" i="18"/>
  <c r="G95" i="18"/>
  <c r="G104" i="18"/>
  <c r="G105" i="18"/>
  <c r="G84" i="18"/>
  <c r="G78" i="18"/>
  <c r="G79" i="18"/>
  <c r="G80" i="18"/>
  <c r="G81" i="18"/>
  <c r="G83" i="18"/>
  <c r="G106" i="18"/>
  <c r="H104" i="18"/>
  <c r="H105" i="18"/>
  <c r="H84" i="18"/>
  <c r="H79" i="18"/>
  <c r="H80" i="18"/>
  <c r="H81" i="18"/>
  <c r="H83" i="18"/>
  <c r="H106" i="18"/>
  <c r="I106" i="18"/>
  <c r="I105" i="18"/>
  <c r="I104" i="18"/>
  <c r="I102" i="18"/>
  <c r="I100" i="18"/>
  <c r="I96" i="18"/>
  <c r="I94" i="18"/>
  <c r="I93" i="18"/>
  <c r="I91" i="18"/>
  <c r="I87" i="18"/>
  <c r="I86" i="18"/>
  <c r="I85" i="18"/>
  <c r="I84" i="18"/>
  <c r="I83" i="18"/>
  <c r="I82" i="18"/>
  <c r="I81" i="18"/>
  <c r="I80" i="18"/>
  <c r="I79" i="18"/>
  <c r="I78" i="18"/>
  <c r="F70" i="18"/>
  <c r="F71" i="18"/>
  <c r="F55" i="18"/>
  <c r="F47" i="18"/>
  <c r="F48" i="18"/>
  <c r="F45" i="18"/>
  <c r="F46" i="18"/>
  <c r="F43" i="18"/>
  <c r="F44" i="18"/>
  <c r="F41" i="18"/>
  <c r="F42" i="18"/>
  <c r="F39" i="18"/>
  <c r="F40" i="18"/>
  <c r="F37" i="18"/>
  <c r="F38" i="18"/>
  <c r="F49" i="18"/>
  <c r="F50" i="18"/>
  <c r="F51" i="18"/>
  <c r="F72" i="18"/>
  <c r="F73" i="18"/>
  <c r="F74" i="18"/>
  <c r="G70" i="18"/>
  <c r="G71" i="18"/>
  <c r="G55" i="18"/>
  <c r="G47" i="18"/>
  <c r="G48" i="18"/>
  <c r="G45" i="18"/>
  <c r="G46" i="18"/>
  <c r="G43" i="18"/>
  <c r="G44" i="18"/>
  <c r="G41" i="18"/>
  <c r="G42" i="18"/>
  <c r="G39" i="18"/>
  <c r="G40" i="18"/>
  <c r="G37" i="18"/>
  <c r="G38" i="18"/>
  <c r="G49" i="18"/>
  <c r="G50" i="18"/>
  <c r="G51" i="18"/>
  <c r="G72" i="18"/>
  <c r="G73" i="18"/>
  <c r="G74" i="18"/>
  <c r="H70" i="18"/>
  <c r="H71" i="18"/>
  <c r="H55" i="18"/>
  <c r="H47" i="18"/>
  <c r="H48" i="18"/>
  <c r="H45" i="18"/>
  <c r="H46" i="18"/>
  <c r="H43" i="18"/>
  <c r="H44" i="18"/>
  <c r="H41" i="18"/>
  <c r="H42" i="18"/>
  <c r="H39" i="18"/>
  <c r="H40" i="18"/>
  <c r="H37" i="18"/>
  <c r="H38" i="18"/>
  <c r="H49" i="18"/>
  <c r="H50" i="18"/>
  <c r="H51" i="18"/>
  <c r="H72" i="18"/>
  <c r="H73" i="18"/>
  <c r="H74" i="18"/>
  <c r="I74" i="18"/>
  <c r="I73" i="18"/>
  <c r="I72" i="18"/>
  <c r="I71" i="18"/>
  <c r="I70" i="18"/>
  <c r="I69" i="18"/>
  <c r="I68" i="18"/>
  <c r="I67" i="18"/>
  <c r="I66" i="18"/>
  <c r="I65" i="18"/>
  <c r="I64" i="18"/>
  <c r="I63" i="18"/>
  <c r="I61" i="18"/>
  <c r="I60" i="18"/>
  <c r="I59" i="18"/>
  <c r="I58" i="18"/>
  <c r="I57" i="18"/>
  <c r="I55" i="18"/>
  <c r="I54" i="18"/>
  <c r="I53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I38" i="18"/>
  <c r="I37" i="18"/>
  <c r="F32" i="18"/>
  <c r="F30" i="18"/>
  <c r="F24" i="18"/>
  <c r="F27" i="18"/>
  <c r="F20" i="18"/>
  <c r="F12" i="18"/>
  <c r="F13" i="18"/>
  <c r="F10" i="18"/>
  <c r="F11" i="18"/>
  <c r="D8" i="18"/>
  <c r="F8" i="18"/>
  <c r="F9" i="18"/>
  <c r="F6" i="18"/>
  <c r="F7" i="18"/>
  <c r="D4" i="18"/>
  <c r="F4" i="18"/>
  <c r="F5" i="18"/>
  <c r="F14" i="18"/>
  <c r="F15" i="18"/>
  <c r="F16" i="18"/>
  <c r="F28" i="18"/>
  <c r="F29" i="18"/>
  <c r="F31" i="18"/>
  <c r="F33" i="18"/>
  <c r="G32" i="18"/>
  <c r="G30" i="18"/>
  <c r="G27" i="18"/>
  <c r="G20" i="18"/>
  <c r="G3" i="18"/>
  <c r="G12" i="18"/>
  <c r="G13" i="18"/>
  <c r="G10" i="18"/>
  <c r="G11" i="18"/>
  <c r="G8" i="18"/>
  <c r="G9" i="18"/>
  <c r="G6" i="18"/>
  <c r="G7" i="18"/>
  <c r="G4" i="18"/>
  <c r="G5" i="18"/>
  <c r="G14" i="18"/>
  <c r="G15" i="18"/>
  <c r="G16" i="18"/>
  <c r="G28" i="18"/>
  <c r="G29" i="18"/>
  <c r="G31" i="18"/>
  <c r="G33" i="18"/>
  <c r="H32" i="18"/>
  <c r="H30" i="18"/>
  <c r="H27" i="18"/>
  <c r="H20" i="18"/>
  <c r="H3" i="18"/>
  <c r="H12" i="18"/>
  <c r="H13" i="18"/>
  <c r="H10" i="18"/>
  <c r="H11" i="18"/>
  <c r="H8" i="18"/>
  <c r="H9" i="18"/>
  <c r="H6" i="18"/>
  <c r="H7" i="18"/>
  <c r="H4" i="18"/>
  <c r="H5" i="18"/>
  <c r="H14" i="18"/>
  <c r="H15" i="18"/>
  <c r="H16" i="18"/>
  <c r="H28" i="18"/>
  <c r="H29" i="18"/>
  <c r="H31" i="18"/>
  <c r="H33" i="18"/>
  <c r="I33" i="18"/>
  <c r="I32" i="18"/>
  <c r="I31" i="18"/>
  <c r="I30" i="18"/>
  <c r="I29" i="18"/>
  <c r="I22" i="18"/>
  <c r="I23" i="18"/>
  <c r="I24" i="18"/>
  <c r="I25" i="18"/>
  <c r="I26" i="18"/>
  <c r="I27" i="18"/>
  <c r="I20" i="18"/>
  <c r="I16" i="18"/>
  <c r="I28" i="18"/>
  <c r="I19" i="18"/>
  <c r="I18" i="18"/>
  <c r="I15" i="18"/>
  <c r="I14" i="18"/>
  <c r="I13" i="18"/>
  <c r="I12" i="18"/>
  <c r="I11" i="18"/>
  <c r="I10" i="18"/>
  <c r="I9" i="18"/>
  <c r="I8" i="18"/>
  <c r="I7" i="18"/>
  <c r="I6" i="18"/>
  <c r="I5" i="18"/>
  <c r="I4" i="18"/>
  <c r="I34" i="11"/>
  <c r="I33" i="9"/>
  <c r="I34" i="9"/>
  <c r="H15" i="16"/>
  <c r="I15" i="16"/>
  <c r="J15" i="16"/>
  <c r="K15" i="16"/>
  <c r="K12" i="16"/>
  <c r="K13" i="16"/>
  <c r="K14" i="16"/>
  <c r="J8" i="15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4" i="9"/>
  <c r="I43" i="9"/>
  <c r="I42" i="9"/>
  <c r="G17" i="14"/>
  <c r="I8" i="9"/>
  <c r="I89" i="9"/>
  <c r="I95" i="9"/>
  <c r="I96" i="9"/>
  <c r="I98" i="9"/>
  <c r="I90" i="9"/>
  <c r="I91" i="9"/>
  <c r="I92" i="9"/>
  <c r="I93" i="9"/>
  <c r="I94" i="9"/>
  <c r="K25" i="14"/>
  <c r="H22" i="14"/>
  <c r="I22" i="14"/>
  <c r="J22" i="14"/>
  <c r="K22" i="14"/>
  <c r="K23" i="14"/>
  <c r="K24" i="14"/>
  <c r="I13" i="9"/>
  <c r="I10" i="9"/>
  <c r="I7" i="9"/>
  <c r="I4" i="9"/>
  <c r="D11" i="9"/>
  <c r="I9" i="9"/>
  <c r="I11" i="9"/>
  <c r="I12" i="9"/>
  <c r="I14" i="9"/>
  <c r="I15" i="9"/>
  <c r="I16" i="9"/>
  <c r="I17" i="9"/>
  <c r="D5" i="9"/>
  <c r="I5" i="9"/>
  <c r="I19" i="9"/>
  <c r="I78" i="9"/>
  <c r="I118" i="9"/>
  <c r="I117" i="9"/>
  <c r="I114" i="9"/>
  <c r="I108" i="9"/>
  <c r="I107" i="9"/>
  <c r="I105" i="9"/>
  <c r="I102" i="9"/>
  <c r="I101" i="9"/>
  <c r="I99" i="9"/>
  <c r="I84" i="9"/>
  <c r="I83" i="9"/>
  <c r="I82" i="9"/>
  <c r="I81" i="9"/>
  <c r="I80" i="9"/>
  <c r="I79" i="9"/>
  <c r="I77" i="9"/>
  <c r="I76" i="9"/>
  <c r="I75" i="9"/>
  <c r="I74" i="9"/>
  <c r="I72" i="9"/>
  <c r="I71" i="9"/>
  <c r="I70" i="9"/>
  <c r="I69" i="9"/>
  <c r="I68" i="9"/>
  <c r="I66" i="9"/>
  <c r="I65" i="9"/>
  <c r="I64" i="9"/>
  <c r="I62" i="9"/>
  <c r="I61" i="9"/>
  <c r="I60" i="9"/>
  <c r="I59" i="9"/>
  <c r="I24" i="9"/>
  <c r="I23" i="9"/>
  <c r="I20" i="9"/>
  <c r="I18" i="9"/>
  <c r="I6" i="9"/>
  <c r="D9" i="3"/>
  <c r="D3" i="3"/>
  <c r="D7" i="3"/>
  <c r="E7" i="3"/>
  <c r="E3" i="3"/>
  <c r="F3" i="3"/>
  <c r="D34" i="3"/>
  <c r="D35" i="3"/>
  <c r="D42" i="3"/>
  <c r="E33" i="3"/>
  <c r="E35" i="3"/>
  <c r="E37" i="3"/>
  <c r="E42" i="3"/>
  <c r="F33" i="3"/>
  <c r="F35" i="3"/>
  <c r="F37" i="3"/>
  <c r="F42" i="3"/>
  <c r="G38" i="3"/>
  <c r="G42" i="3"/>
  <c r="H38" i="3"/>
  <c r="H42" i="3"/>
  <c r="I42" i="3"/>
  <c r="E25" i="3"/>
  <c r="F25" i="3"/>
  <c r="D29" i="3"/>
  <c r="E29" i="3"/>
  <c r="G29" i="3"/>
  <c r="H29" i="3"/>
  <c r="D30" i="3"/>
  <c r="E30" i="3"/>
  <c r="G30" i="3"/>
  <c r="H30" i="3"/>
  <c r="G31" i="3"/>
  <c r="H31" i="3"/>
  <c r="I31" i="3"/>
  <c r="D10" i="3"/>
  <c r="D11" i="3"/>
  <c r="E4" i="3"/>
  <c r="E5" i="3"/>
  <c r="E6" i="3"/>
  <c r="E9" i="3"/>
  <c r="E12" i="3"/>
  <c r="E14" i="3"/>
  <c r="E18" i="3"/>
  <c r="E20" i="3"/>
  <c r="F4" i="3"/>
  <c r="F5" i="3"/>
  <c r="F6" i="3"/>
  <c r="F9" i="3"/>
  <c r="F12" i="3"/>
  <c r="F18" i="3"/>
  <c r="F20" i="3"/>
  <c r="D18" i="3"/>
  <c r="H18" i="3"/>
  <c r="G3" i="3"/>
  <c r="H3" i="3"/>
  <c r="G4" i="3"/>
  <c r="H4" i="3"/>
  <c r="G5" i="3"/>
  <c r="H5" i="3"/>
  <c r="G6" i="3"/>
  <c r="H6" i="3"/>
  <c r="H9" i="3"/>
  <c r="H12" i="3"/>
  <c r="G18" i="3"/>
  <c r="G9" i="3"/>
  <c r="G12" i="3"/>
  <c r="G14" i="3"/>
  <c r="H20" i="3"/>
  <c r="G20" i="3"/>
  <c r="D20" i="3"/>
  <c r="J6" i="3"/>
  <c r="J4" i="3"/>
  <c r="J3" i="3"/>
  <c r="F7" i="3"/>
  <c r="E8" i="3"/>
  <c r="E15" i="3"/>
  <c r="F29" i="3"/>
  <c r="I25" i="3"/>
  <c r="F8" i="3"/>
  <c r="D8" i="3"/>
  <c r="D15" i="3"/>
  <c r="E17" i="3"/>
  <c r="E22" i="3"/>
  <c r="E19" i="3"/>
  <c r="E21" i="3"/>
  <c r="D17" i="3"/>
  <c r="D22" i="3"/>
  <c r="I22" i="3"/>
  <c r="D21" i="3"/>
  <c r="I21" i="3"/>
  <c r="I23" i="3"/>
  <c r="D19" i="3"/>
  <c r="I19" i="3"/>
  <c r="I15" i="3"/>
  <c r="F30" i="3"/>
  <c r="I30" i="3"/>
  <c r="I29" i="3"/>
  <c r="J31" i="3"/>
  <c r="F15" i="3"/>
  <c r="G7" i="3"/>
  <c r="F17" i="3"/>
  <c r="F22" i="3"/>
  <c r="F19" i="3"/>
  <c r="F21" i="3"/>
  <c r="H7" i="3"/>
  <c r="G8" i="3"/>
  <c r="G15" i="3"/>
  <c r="J7" i="3"/>
  <c r="G17" i="3"/>
  <c r="G19" i="3"/>
  <c r="G21" i="3"/>
  <c r="G22" i="3"/>
  <c r="H8" i="3"/>
  <c r="H15" i="3"/>
  <c r="H17" i="3"/>
  <c r="H22" i="3"/>
  <c r="H19" i="3"/>
  <c r="H21" i="3"/>
</calcChain>
</file>

<file path=xl/comments1.xml><?xml version="1.0" encoding="utf-8"?>
<comments xmlns="http://schemas.openxmlformats.org/spreadsheetml/2006/main">
  <authors>
    <author>Melinda Rostal</author>
  </authors>
  <commentList>
    <comment ref="H29" authorId="0">
      <text>
        <r>
          <rPr>
            <b/>
            <sz val="9"/>
            <color indexed="81"/>
            <rFont val="Verdana"/>
            <family val="2"/>
          </rPr>
          <t>Melinda Rostal:</t>
        </r>
        <r>
          <rPr>
            <sz val="9"/>
            <color indexed="81"/>
            <rFont val="Verdana"/>
            <family val="2"/>
          </rPr>
          <t xml:space="preserve">
Recalculate after moving the foreign travel from Y4 to Y5</t>
        </r>
      </text>
    </comment>
    <comment ref="M29" authorId="0">
      <text>
        <r>
          <rPr>
            <b/>
            <sz val="9"/>
            <color indexed="81"/>
            <rFont val="Verdana"/>
            <family val="2"/>
          </rPr>
          <t>Melinda Rostal:</t>
        </r>
        <r>
          <rPr>
            <sz val="9"/>
            <color indexed="81"/>
            <rFont val="Verdana"/>
            <family val="2"/>
          </rPr>
          <t xml:space="preserve">
Recalculate after moving the foreign travel from Y4 to Y5</t>
        </r>
      </text>
    </comment>
  </commentList>
</comments>
</file>

<file path=xl/sharedStrings.xml><?xml version="1.0" encoding="utf-8"?>
<sst xmlns="http://schemas.openxmlformats.org/spreadsheetml/2006/main" count="447" uniqueCount="222">
  <si>
    <t>Total</t>
  </si>
  <si>
    <t>Lab supplies and reagents</t>
  </si>
  <si>
    <t>E</t>
  </si>
  <si>
    <t>G2</t>
    <phoneticPr fontId="3" type="noConversion"/>
  </si>
  <si>
    <t>Publications</t>
    <phoneticPr fontId="3" type="noConversion"/>
  </si>
  <si>
    <t>G5</t>
    <phoneticPr fontId="3" type="noConversion"/>
  </si>
  <si>
    <t>Total Direct Costs</t>
  </si>
  <si>
    <t>Indirect Costs</t>
  </si>
  <si>
    <t>Year 1</t>
    <phoneticPr fontId="3" type="noConversion"/>
  </si>
  <si>
    <t>Year 2</t>
    <phoneticPr fontId="3" type="noConversion"/>
  </si>
  <si>
    <t>Fringe</t>
    <phoneticPr fontId="3" type="noConversion"/>
  </si>
  <si>
    <t>Year 3</t>
  </si>
  <si>
    <t>Year 4</t>
  </si>
  <si>
    <t>Year 5</t>
  </si>
  <si>
    <t>Total</t>
    <phoneticPr fontId="3" type="noConversion"/>
  </si>
  <si>
    <t>Salary (Rostal)</t>
    <phoneticPr fontId="3" type="noConversion"/>
  </si>
  <si>
    <t>Inhouse Overhead</t>
    <phoneticPr fontId="3" type="noConversion"/>
  </si>
  <si>
    <t>EcoHealth Alliance</t>
    <phoneticPr fontId="3" type="noConversion"/>
  </si>
  <si>
    <t>A</t>
    <phoneticPr fontId="3" type="noConversion"/>
  </si>
  <si>
    <t>B</t>
    <phoneticPr fontId="3" type="noConversion"/>
  </si>
  <si>
    <t>C</t>
    <phoneticPr fontId="3" type="noConversion"/>
  </si>
  <si>
    <t xml:space="preserve">Travel </t>
    <phoneticPr fontId="3" type="noConversion"/>
  </si>
  <si>
    <t>G1</t>
    <phoneticPr fontId="3" type="noConversion"/>
  </si>
  <si>
    <t>Theory Computers</t>
    <phoneticPr fontId="3" type="noConversion"/>
  </si>
  <si>
    <t>Computer Services</t>
    <phoneticPr fontId="3" type="noConversion"/>
  </si>
  <si>
    <t>G4</t>
    <phoneticPr fontId="3" type="noConversion"/>
  </si>
  <si>
    <t>G1 In house toal</t>
    <phoneticPr fontId="3" type="noConversion"/>
  </si>
  <si>
    <t>Subcontract Total</t>
    <phoneticPr fontId="3" type="noConversion"/>
  </si>
  <si>
    <t>Inhouse Total</t>
    <phoneticPr fontId="3" type="noConversion"/>
  </si>
  <si>
    <t>Sub contract overhead</t>
  </si>
  <si>
    <t>Inhouse Direct</t>
  </si>
  <si>
    <t>Fringe</t>
  </si>
  <si>
    <t>Tax</t>
  </si>
  <si>
    <t>Salary (Daszak)</t>
  </si>
  <si>
    <t>Salary (Murray)</t>
  </si>
  <si>
    <t>Salary (Zambrana)</t>
  </si>
  <si>
    <t>Development of extensive Database</t>
  </si>
  <si>
    <t xml:space="preserve">Masters' students  tuition- 2 years </t>
  </si>
  <si>
    <t>CII</t>
  </si>
  <si>
    <t>Total CII Costs</t>
  </si>
  <si>
    <t>UNAM Vet</t>
  </si>
  <si>
    <t>Gerardo</t>
  </si>
  <si>
    <t>Field team (3 people)</t>
  </si>
  <si>
    <t>(500 per person per month)</t>
  </si>
  <si>
    <t>Rafael</t>
  </si>
  <si>
    <t>Sampling supplies (24,000 samples including duplicates</t>
  </si>
  <si>
    <t>Dry Shipper</t>
  </si>
  <si>
    <t>Three year total</t>
  </si>
  <si>
    <t>Total Direct</t>
  </si>
  <si>
    <t xml:space="preserve"> Total indirect</t>
  </si>
  <si>
    <t xml:space="preserve"> -80 freezer</t>
  </si>
  <si>
    <t>Drivers/internal travel</t>
  </si>
  <si>
    <t>YR1</t>
  </si>
  <si>
    <t>YR2</t>
  </si>
  <si>
    <t>YR3</t>
  </si>
  <si>
    <t>Ger</t>
  </si>
  <si>
    <t>CU/CII</t>
  </si>
  <si>
    <t>EHA</t>
  </si>
  <si>
    <t>Administrator (25%)</t>
  </si>
  <si>
    <t>Y1</t>
  </si>
  <si>
    <t>Y2</t>
  </si>
  <si>
    <t>Y3</t>
  </si>
  <si>
    <t>TOTAL</t>
  </si>
  <si>
    <t>SALARY</t>
  </si>
  <si>
    <t>SALARY &amp; FRINGE</t>
  </si>
  <si>
    <t>Fringe (Daszak)</t>
  </si>
  <si>
    <t>Total Fringe</t>
  </si>
  <si>
    <t>Fringe (Zambrana)</t>
  </si>
  <si>
    <t>Fringe (Rostal)</t>
  </si>
  <si>
    <t>TOTAL SALARY &amp; FRINGE</t>
  </si>
  <si>
    <t>Total Salary</t>
  </si>
  <si>
    <t>Travel (International)</t>
  </si>
  <si>
    <t>TOTAL TRAVEL</t>
  </si>
  <si>
    <t>TRAVEL</t>
  </si>
  <si>
    <t>Travel (Domestic)</t>
  </si>
  <si>
    <t>OTHER DIRECT</t>
  </si>
  <si>
    <t>TOTAL OTHER DIRECT</t>
  </si>
  <si>
    <t>TOTAL EHA DIRECT</t>
  </si>
  <si>
    <t>EHA SUBCONTRACT CU/CII</t>
  </si>
  <si>
    <t>EHA SUBCONTRACT UNAM/GERARDO</t>
  </si>
  <si>
    <t>Fringe (Lipkin)</t>
  </si>
  <si>
    <t>Fringe (Anthony)</t>
  </si>
  <si>
    <t>Fringe (Navarrete)</t>
  </si>
  <si>
    <t>Fringe (Sanchez)</t>
  </si>
  <si>
    <t>Total Fringe (31%)</t>
  </si>
  <si>
    <t xml:space="preserve">  Maintenance Contracts/Core Facilities</t>
  </si>
  <si>
    <t xml:space="preserve">  External Sequencing/Genome Polishing</t>
  </si>
  <si>
    <t xml:space="preserve">  Dishwash/Autoclave</t>
  </si>
  <si>
    <t xml:space="preserve">  Publications</t>
  </si>
  <si>
    <t xml:space="preserve">  Courier</t>
  </si>
  <si>
    <t>TOTAL DIRECT</t>
  </si>
  <si>
    <t xml:space="preserve">  RNA Extraction/cDNA Synthesis</t>
  </si>
  <si>
    <t xml:space="preserve">  PCR</t>
  </si>
  <si>
    <t xml:space="preserve">  Cloning/Sequencing</t>
  </si>
  <si>
    <t xml:space="preserve">  Deep Sequencing</t>
  </si>
  <si>
    <t xml:space="preserve">  Chemicals/Primers</t>
  </si>
  <si>
    <t xml:space="preserve">  Plastics/Gloves/Glassware</t>
  </si>
  <si>
    <t>MATERIALS &amp; SUPPLIES</t>
  </si>
  <si>
    <t>TOTAL MATERIALS &amp; SUPPLIES</t>
  </si>
  <si>
    <t>TOTAL INDIRECT (60%)</t>
  </si>
  <si>
    <t>UNAM</t>
  </si>
  <si>
    <t>Plastics/Gloves/Glassware</t>
  </si>
  <si>
    <t>TOTAL (NO F&amp;A)</t>
  </si>
  <si>
    <t>Liquid Nitrogen and export of samples</t>
  </si>
  <si>
    <t>G2. Publications</t>
  </si>
  <si>
    <t>Fringe (Olival)</t>
  </si>
  <si>
    <t>Fringe (Post doc)</t>
  </si>
  <si>
    <t>Salary</t>
  </si>
  <si>
    <t>Time in Months</t>
  </si>
  <si>
    <t>Daszak, Peter</t>
  </si>
  <si>
    <t>Zambrana-Torrelio, Carlos</t>
  </si>
  <si>
    <t>Olival, Kevin J.</t>
  </si>
  <si>
    <t>Rostal, Melinda</t>
  </si>
  <si>
    <t>Postdoctoral Student (tbd)</t>
  </si>
  <si>
    <t>Lipkin, W. Ian</t>
  </si>
  <si>
    <t>Anthony, Simon</t>
  </si>
  <si>
    <t>Navarrete, Isa</t>
  </si>
  <si>
    <t>Sanchez, Maria</t>
  </si>
  <si>
    <t>Muhammad, Kwathar</t>
  </si>
  <si>
    <t>Annual</t>
  </si>
  <si>
    <t>Multigas Detector (Altair  5x : CH4, CO, O2, NO2)</t>
  </si>
  <si>
    <t>Liquid Nitrogen Transcer Vessels  (Taylor-Wharton / 34L)</t>
  </si>
  <si>
    <t>Liquid Nitrogen Transcer Vessels  (Thermo Scientific 71 L /Racks)</t>
  </si>
  <si>
    <t>EQUIPMENT</t>
  </si>
  <si>
    <t xml:space="preserve"> -80C Freezer</t>
  </si>
  <si>
    <t>8 Full face gas mask (Supplied Air and Intercom)</t>
  </si>
  <si>
    <t>Total Equipment</t>
  </si>
  <si>
    <t>Harp traps and Mist Nets</t>
  </si>
  <si>
    <t>10 iButtons</t>
  </si>
  <si>
    <t>Racks for LN2 vessel</t>
  </si>
  <si>
    <t>Caving equipment</t>
  </si>
  <si>
    <t>PPE</t>
  </si>
  <si>
    <t>Salary (Gerardo)</t>
  </si>
  <si>
    <t>Salary (Rafael)</t>
  </si>
  <si>
    <t>Salary (Oscar)</t>
  </si>
  <si>
    <t>Salary (Paola)</t>
  </si>
  <si>
    <t>Campling material (tents, sleeping bags)</t>
  </si>
  <si>
    <t>Mist Net Poles</t>
  </si>
  <si>
    <t>Sinha, Rohini - bioinformatics</t>
  </si>
  <si>
    <t>Fringe (Sinha)</t>
  </si>
  <si>
    <t>Fringe (Muhammad)</t>
  </si>
  <si>
    <t xml:space="preserve">  Deep Sequencing conting. Confirmation</t>
  </si>
  <si>
    <t>Sampling trip</t>
  </si>
  <si>
    <t>traveller</t>
  </si>
  <si>
    <t>Yr 2</t>
  </si>
  <si>
    <t>Yr 3</t>
  </si>
  <si>
    <t>annual meeting of PIs</t>
  </si>
  <si>
    <t>International conference</t>
  </si>
  <si>
    <t>Domestic conference</t>
  </si>
  <si>
    <t>KM</t>
  </si>
  <si>
    <t>Postdoc</t>
  </si>
  <si>
    <t>Kevin</t>
  </si>
  <si>
    <t>Yr 1</t>
  </si>
  <si>
    <t>Trip cost</t>
  </si>
  <si>
    <t>duration (days)</t>
  </si>
  <si>
    <t>NYC</t>
  </si>
  <si>
    <t>Campeche</t>
  </si>
  <si>
    <t>Campeche (field)</t>
  </si>
  <si>
    <t>per diem rate (USD)</t>
  </si>
  <si>
    <t>Collaboration trip to NYC</t>
  </si>
  <si>
    <t>Peter</t>
  </si>
  <si>
    <t>Mindy</t>
  </si>
  <si>
    <t>Carlos</t>
  </si>
  <si>
    <t># travellers</t>
  </si>
  <si>
    <t>NYC &lt;--&gt; Campeche</t>
  </si>
  <si>
    <t>NYC &lt;--&gt; London</t>
  </si>
  <si>
    <t>TOTAL EHA TRAVEL</t>
  </si>
  <si>
    <t>Flight (USD)</t>
  </si>
  <si>
    <t>total domestic</t>
  </si>
  <si>
    <t>total international</t>
  </si>
  <si>
    <t>Oscar</t>
  </si>
  <si>
    <t>Paola</t>
  </si>
  <si>
    <t>TOTAL UNAM TRAVEL</t>
  </si>
  <si>
    <t>Conference (international)</t>
  </si>
  <si>
    <t>G4. Computer Services</t>
  </si>
  <si>
    <t>UNAM masters students trip to NYC</t>
  </si>
  <si>
    <t>TOTAL PARTICIPANT SUPPORT</t>
  </si>
  <si>
    <t>undergrads (2) to sampling trip</t>
  </si>
  <si>
    <t>undergrads (2) to sampling trip (Y2)</t>
  </si>
  <si>
    <t>Supplies for  student project</t>
  </si>
  <si>
    <t>PARTICIPANT SUPPORT</t>
  </si>
  <si>
    <t>Ian</t>
  </si>
  <si>
    <t>Simon</t>
  </si>
  <si>
    <t>Columbia masters student to sampling trip</t>
  </si>
  <si>
    <t>Total Indirect</t>
  </si>
  <si>
    <t>Kris</t>
  </si>
  <si>
    <t>G1. Development of extensive Database</t>
  </si>
  <si>
    <t>G1. Theory Computers</t>
  </si>
  <si>
    <t>G1. Supplies for  student project</t>
  </si>
  <si>
    <t>G4. Computer services</t>
  </si>
  <si>
    <t>EHA OVERHEAD (44.2%)</t>
  </si>
  <si>
    <t>EHA SUBCONTRACT OVERHEAD (44.2%)</t>
  </si>
  <si>
    <t>Salary (Field Team 3.0 months, 3 staff Y1</t>
  </si>
  <si>
    <t>50 iButtons</t>
  </si>
  <si>
    <t>Field team (4)</t>
  </si>
  <si>
    <t>gas</t>
  </si>
  <si>
    <t>$1/liter as of 3-30</t>
  </si>
  <si>
    <t>8.9 L/100 km fuel efficiency</t>
  </si>
  <si>
    <t>price of gas</t>
  </si>
  <si>
    <t>cost for two weeks</t>
  </si>
  <si>
    <t>" month</t>
  </si>
  <si>
    <t>cost of car rental in Mexico, two weeks</t>
  </si>
  <si>
    <t>distance from MC to field site (R/T)</t>
  </si>
  <si>
    <t>5 full face gas masks</t>
  </si>
  <si>
    <t>Salary (Field Team, 4 people, 3.0 months Y1 and 2)</t>
  </si>
  <si>
    <t>transportation*</t>
  </si>
  <si>
    <t>Transportation*</t>
  </si>
  <si>
    <t>London &lt;--&gt; Mexico City</t>
  </si>
  <si>
    <t>cost  per month</t>
  </si>
  <si>
    <t>UNAM masters students in NYC</t>
  </si>
  <si>
    <t>2,000 housing, $115 for transit, $370 food</t>
  </si>
  <si>
    <t>actual per diem</t>
  </si>
  <si>
    <t>KM in NYC</t>
  </si>
  <si>
    <t>N/A</t>
  </si>
  <si>
    <t>UNAM masters students to field (1 each year)</t>
  </si>
  <si>
    <t>G1. Materials and supplies</t>
  </si>
  <si>
    <t>cost per undergrad</t>
  </si>
  <si>
    <t>cost of one field trip</t>
  </si>
  <si>
    <t>Liquid Nitrogen Transcer Vessel  (Thermo Scientific 71 L /Racks)</t>
  </si>
  <si>
    <t xml:space="preserve">Harp traps </t>
  </si>
  <si>
    <t>Supplies</t>
  </si>
  <si>
    <t>Mindy, Carlos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</si>
</sst>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&quot;$&quot;#,##0.00"/>
    <numFmt numFmtId="166" formatCode="_(&quot;$&quot;* #,##0_);_(&quot;$&quot;* \(#,##0\);_(&quot;$&quot;* &quot;-&quot;??_);_(@_)"/>
    <numFmt numFmtId="167" formatCode="0.0"/>
    <numFmt numFmtId="168" formatCode="0.00000"/>
    <numFmt numFmtId="169" formatCode="0.0000000000000"/>
    <numFmt numFmtId="170" formatCode="0.0%"/>
  </numFmts>
  <fonts count="18" x14ac:knownFonts="1">
    <font>
      <sz val="12"/>
      <name val="Verdana"/>
    </font>
    <font>
      <sz val="12"/>
      <color theme="1"/>
      <name val="Calibri"/>
      <family val="2"/>
      <scheme val="minor"/>
    </font>
    <font>
      <sz val="12"/>
      <name val="Verdana"/>
    </font>
    <font>
      <sz val="8"/>
      <name val="Verdana"/>
      <family val="2"/>
    </font>
    <font>
      <b/>
      <sz val="12"/>
      <name val="Verdana"/>
      <family val="2"/>
    </font>
    <font>
      <b/>
      <i/>
      <sz val="12"/>
      <name val="Verdana"/>
      <family val="2"/>
    </font>
    <font>
      <sz val="9"/>
      <color indexed="81"/>
      <name val="Verdana"/>
      <family val="2"/>
    </font>
    <font>
      <b/>
      <sz val="9"/>
      <color indexed="81"/>
      <name val="Verdana"/>
      <family val="2"/>
    </font>
    <font>
      <sz val="12"/>
      <name val="Verdana"/>
    </font>
    <font>
      <sz val="11"/>
      <name val="Arial"/>
      <family val="2"/>
    </font>
    <font>
      <sz val="11"/>
      <name val="Verdana"/>
    </font>
    <font>
      <sz val="10"/>
      <name val="Verdana"/>
    </font>
    <font>
      <sz val="12"/>
      <color theme="1"/>
      <name val="Calibri"/>
      <family val="2"/>
      <scheme val="minor"/>
    </font>
    <font>
      <sz val="12"/>
      <color theme="0"/>
      <name val="Verdana"/>
    </font>
    <font>
      <u/>
      <sz val="12"/>
      <color theme="10"/>
      <name val="Verdana"/>
    </font>
    <font>
      <u/>
      <sz val="12"/>
      <color theme="11"/>
      <name val="Verdana"/>
    </font>
    <font>
      <i/>
      <sz val="12"/>
      <name val="Verdana"/>
    </font>
    <font>
      <sz val="14"/>
      <color rgb="FF252525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4D79B"/>
        <bgColor rgb="FF000000"/>
      </patternFill>
    </fill>
    <fill>
      <patternFill patternType="solid">
        <fgColor rgb="FFCCFFCC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6" tint="0.39997558519241921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21">
    <xf numFmtId="0" fontId="0" fillId="0" borderId="0"/>
    <xf numFmtId="16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/>
    <xf numFmtId="0" fontId="1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47">
    <xf numFmtId="0" fontId="0" fillId="0" borderId="0" xfId="0"/>
    <xf numFmtId="164" fontId="0" fillId="0" borderId="0" xfId="1" applyFont="1"/>
    <xf numFmtId="164" fontId="0" fillId="0" borderId="0" xfId="0" applyNumberFormat="1"/>
    <xf numFmtId="164" fontId="0" fillId="0" borderId="0" xfId="1" applyFont="1" applyAlignment="1">
      <alignment horizontal="left"/>
    </xf>
    <xf numFmtId="164" fontId="0" fillId="0" borderId="0" xfId="1" applyNumberFormat="1" applyFont="1"/>
    <xf numFmtId="165" fontId="0" fillId="0" borderId="0" xfId="0" applyNumberFormat="1"/>
    <xf numFmtId="0" fontId="4" fillId="0" borderId="0" xfId="0" applyFont="1"/>
    <xf numFmtId="164" fontId="4" fillId="0" borderId="0" xfId="0" applyNumberFormat="1" applyFont="1"/>
    <xf numFmtId="164" fontId="4" fillId="0" borderId="0" xfId="1" applyFont="1"/>
    <xf numFmtId="0" fontId="5" fillId="0" borderId="0" xfId="0" applyFont="1"/>
    <xf numFmtId="166" fontId="0" fillId="0" borderId="0" xfId="0" applyNumberFormat="1"/>
    <xf numFmtId="166" fontId="0" fillId="0" borderId="0" xfId="1" applyNumberFormat="1" applyFont="1"/>
    <xf numFmtId="166" fontId="4" fillId="0" borderId="0" xfId="1" applyNumberFormat="1" applyFont="1"/>
    <xf numFmtId="166" fontId="5" fillId="2" borderId="0" xfId="1" applyNumberFormat="1" applyFont="1" applyFill="1"/>
    <xf numFmtId="166" fontId="0" fillId="0" borderId="0" xfId="0" applyNumberFormat="1" applyFill="1"/>
    <xf numFmtId="166" fontId="2" fillId="0" borderId="0" xfId="1" applyNumberFormat="1" applyFont="1" applyFill="1"/>
    <xf numFmtId="168" fontId="0" fillId="0" borderId="0" xfId="0" applyNumberFormat="1"/>
    <xf numFmtId="169" fontId="0" fillId="0" borderId="0" xfId="0" applyNumberFormat="1"/>
    <xf numFmtId="166" fontId="0" fillId="0" borderId="0" xfId="1" applyNumberFormat="1" applyFont="1" applyFill="1"/>
    <xf numFmtId="164" fontId="2" fillId="0" borderId="0" xfId="1" applyNumberFormat="1" applyFont="1" applyFill="1"/>
    <xf numFmtId="0" fontId="0" fillId="0" borderId="0" xfId="0" applyFill="1"/>
    <xf numFmtId="164" fontId="0" fillId="0" borderId="0" xfId="0" applyNumberFormat="1" applyFill="1"/>
    <xf numFmtId="164" fontId="5" fillId="0" borderId="0" xfId="1" applyFont="1" applyFill="1"/>
    <xf numFmtId="166" fontId="2" fillId="3" borderId="0" xfId="1" applyNumberFormat="1" applyFont="1" applyFill="1"/>
    <xf numFmtId="166" fontId="4" fillId="3" borderId="0" xfId="1" applyNumberFormat="1" applyFont="1" applyFill="1"/>
    <xf numFmtId="0" fontId="4" fillId="3" borderId="0" xfId="0" applyFont="1" applyFill="1"/>
    <xf numFmtId="166" fontId="4" fillId="3" borderId="0" xfId="0" applyNumberFormat="1" applyFont="1" applyFill="1"/>
    <xf numFmtId="0" fontId="0" fillId="3" borderId="0" xfId="0" applyFill="1"/>
    <xf numFmtId="166" fontId="0" fillId="4" borderId="0" xfId="0" applyNumberFormat="1" applyFill="1"/>
    <xf numFmtId="165" fontId="0" fillId="0" borderId="0" xfId="0" applyNumberFormat="1" applyAlignment="1">
      <alignment horizontal="left" vertical="top"/>
    </xf>
    <xf numFmtId="0" fontId="8" fillId="5" borderId="0" xfId="0" applyFont="1" applyFill="1"/>
    <xf numFmtId="0" fontId="0" fillId="5" borderId="0" xfId="0" applyFill="1"/>
    <xf numFmtId="0" fontId="13" fillId="0" borderId="0" xfId="0" applyFont="1" applyFill="1"/>
    <xf numFmtId="170" fontId="0" fillId="0" borderId="1" xfId="3" applyNumberFormat="1" applyFont="1" applyFill="1" applyBorder="1" applyAlignment="1">
      <alignment horizontal="center"/>
    </xf>
    <xf numFmtId="166" fontId="0" fillId="0" borderId="1" xfId="1" applyNumberFormat="1" applyFont="1" applyFill="1" applyBorder="1"/>
    <xf numFmtId="0" fontId="0" fillId="0" borderId="0" xfId="0" applyFont="1" applyFill="1"/>
    <xf numFmtId="0" fontId="0" fillId="0" borderId="1" xfId="0" applyFont="1" applyFill="1" applyBorder="1"/>
    <xf numFmtId="0" fontId="0" fillId="0" borderId="1" xfId="0" applyFont="1" applyFill="1" applyBorder="1" applyAlignment="1">
      <alignment horizontal="left" indent="1"/>
    </xf>
    <xf numFmtId="166" fontId="0" fillId="0" borderId="1" xfId="0" applyNumberFormat="1" applyFont="1" applyFill="1" applyBorder="1"/>
    <xf numFmtId="166" fontId="0" fillId="0" borderId="0" xfId="0" applyNumberFormat="1" applyFont="1" applyFill="1"/>
    <xf numFmtId="3" fontId="10" fillId="0" borderId="1" xfId="0" applyNumberFormat="1" applyFont="1" applyFill="1" applyBorder="1"/>
    <xf numFmtId="3" fontId="10" fillId="0" borderId="1" xfId="0" applyNumberFormat="1" applyFont="1" applyFill="1" applyBorder="1" applyAlignment="1">
      <alignment horizontal="left"/>
    </xf>
    <xf numFmtId="0" fontId="0" fillId="0" borderId="2" xfId="0" applyFont="1" applyFill="1" applyBorder="1"/>
    <xf numFmtId="166" fontId="0" fillId="0" borderId="2" xfId="1" applyNumberFormat="1" applyFont="1" applyFill="1" applyBorder="1"/>
    <xf numFmtId="0" fontId="0" fillId="4" borderId="1" xfId="0" applyFont="1" applyFill="1" applyBorder="1"/>
    <xf numFmtId="3" fontId="10" fillId="4" borderId="1" xfId="0" applyNumberFormat="1" applyFont="1" applyFill="1" applyBorder="1" applyAlignment="1">
      <alignment horizontal="left" indent="1"/>
    </xf>
    <xf numFmtId="166" fontId="0" fillId="4" borderId="1" xfId="0" applyNumberFormat="1" applyFont="1" applyFill="1" applyBorder="1"/>
    <xf numFmtId="3" fontId="10" fillId="4" borderId="1" xfId="0" applyNumberFormat="1" applyFont="1" applyFill="1" applyBorder="1" applyAlignment="1">
      <alignment horizontal="left"/>
    </xf>
    <xf numFmtId="0" fontId="0" fillId="4" borderId="1" xfId="0" applyFont="1" applyFill="1" applyBorder="1" applyAlignment="1">
      <alignment horizontal="left" indent="1"/>
    </xf>
    <xf numFmtId="0" fontId="4" fillId="4" borderId="3" xfId="0" applyFont="1" applyFill="1" applyBorder="1"/>
    <xf numFmtId="166" fontId="4" fillId="4" borderId="3" xfId="1" applyNumberFormat="1" applyFont="1" applyFill="1" applyBorder="1"/>
    <xf numFmtId="0" fontId="0" fillId="4" borderId="1" xfId="0" applyFont="1" applyFill="1" applyBorder="1" applyAlignment="1">
      <alignment horizontal="left" indent="2"/>
    </xf>
    <xf numFmtId="0" fontId="0" fillId="4" borderId="1" xfId="0" applyFill="1" applyBorder="1"/>
    <xf numFmtId="0" fontId="0" fillId="0" borderId="0" xfId="0" applyFont="1" applyFill="1" applyAlignment="1">
      <alignment horizontal="center"/>
    </xf>
    <xf numFmtId="0" fontId="0" fillId="6" borderId="1" xfId="0" applyFont="1" applyFill="1" applyBorder="1" applyAlignment="1">
      <alignment horizontal="left" indent="1"/>
    </xf>
    <xf numFmtId="0" fontId="0" fillId="3" borderId="0" xfId="0" applyFont="1" applyFill="1"/>
    <xf numFmtId="164" fontId="0" fillId="0" borderId="0" xfId="0" applyNumberFormat="1" applyFont="1" applyFill="1"/>
    <xf numFmtId="166" fontId="0" fillId="0" borderId="0" xfId="0" applyNumberFormat="1" applyFont="1"/>
    <xf numFmtId="2" fontId="0" fillId="0" borderId="0" xfId="0" applyNumberFormat="1" applyFont="1" applyFill="1" applyAlignment="1">
      <alignment horizontal="center"/>
    </xf>
    <xf numFmtId="166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4" fillId="0" borderId="0" xfId="0" applyFont="1" applyFill="1"/>
    <xf numFmtId="166" fontId="4" fillId="0" borderId="0" xfId="0" applyNumberFormat="1" applyFont="1" applyFill="1"/>
    <xf numFmtId="166" fontId="0" fillId="4" borderId="1" xfId="1" applyNumberFormat="1" applyFont="1" applyFill="1" applyBorder="1"/>
    <xf numFmtId="164" fontId="0" fillId="4" borderId="1" xfId="0" applyNumberFormat="1" applyFont="1" applyFill="1" applyBorder="1"/>
    <xf numFmtId="166" fontId="4" fillId="4" borderId="1" xfId="1" applyNumberFormat="1" applyFont="1" applyFill="1" applyBorder="1"/>
    <xf numFmtId="0" fontId="0" fillId="0" borderId="0" xfId="0" applyFont="1" applyFill="1" applyBorder="1"/>
    <xf numFmtId="166" fontId="0" fillId="0" borderId="0" xfId="0" applyNumberFormat="1" applyFont="1" applyFill="1" applyBorder="1"/>
    <xf numFmtId="9" fontId="0" fillId="0" borderId="0" xfId="3" applyFont="1" applyFill="1" applyBorder="1"/>
    <xf numFmtId="164" fontId="0" fillId="0" borderId="0" xfId="0" applyNumberFormat="1" applyFont="1" applyFill="1" applyBorder="1"/>
    <xf numFmtId="164" fontId="0" fillId="0" borderId="1" xfId="0" applyNumberFormat="1" applyFont="1" applyFill="1" applyBorder="1"/>
    <xf numFmtId="164" fontId="0" fillId="0" borderId="0" xfId="1" applyFont="1" applyFill="1"/>
    <xf numFmtId="0" fontId="0" fillId="0" borderId="0" xfId="0" applyFont="1" applyFill="1" applyBorder="1" applyAlignment="1">
      <alignment horizontal="center"/>
    </xf>
    <xf numFmtId="166" fontId="0" fillId="0" borderId="0" xfId="1" applyNumberFormat="1" applyFont="1" applyFill="1" applyBorder="1"/>
    <xf numFmtId="0" fontId="0" fillId="0" borderId="0" xfId="0" applyFont="1" applyFill="1" applyBorder="1" applyAlignment="1">
      <alignment horizontal="left" indent="1"/>
    </xf>
    <xf numFmtId="0" fontId="0" fillId="0" borderId="0" xfId="0" applyFont="1" applyFill="1" applyBorder="1" applyAlignment="1">
      <alignment horizontal="left" indent="2"/>
    </xf>
    <xf numFmtId="166" fontId="2" fillId="0" borderId="0" xfId="1" applyNumberFormat="1" applyFont="1" applyFill="1" applyBorder="1"/>
    <xf numFmtId="164" fontId="0" fillId="0" borderId="1" xfId="1" applyFont="1" applyFill="1" applyBorder="1"/>
    <xf numFmtId="164" fontId="2" fillId="6" borderId="1" xfId="1" applyFont="1" applyFill="1" applyBorder="1"/>
    <xf numFmtId="164" fontId="0" fillId="4" borderId="1" xfId="1" applyFont="1" applyFill="1" applyBorder="1"/>
    <xf numFmtId="164" fontId="2" fillId="4" borderId="1" xfId="1" applyFont="1" applyFill="1" applyBorder="1"/>
    <xf numFmtId="164" fontId="2" fillId="0" borderId="1" xfId="1" applyFont="1" applyFill="1" applyBorder="1"/>
    <xf numFmtId="164" fontId="0" fillId="0" borderId="1" xfId="1" applyNumberFormat="1" applyFont="1" applyFill="1" applyBorder="1"/>
    <xf numFmtId="164" fontId="2" fillId="4" borderId="1" xfId="1" applyNumberFormat="1" applyFont="1" applyFill="1" applyBorder="1"/>
    <xf numFmtId="164" fontId="2" fillId="0" borderId="1" xfId="1" applyNumberFormat="1" applyFont="1" applyFill="1" applyBorder="1"/>
    <xf numFmtId="0" fontId="4" fillId="0" borderId="1" xfId="0" applyFont="1" applyFill="1" applyBorder="1" applyAlignment="1">
      <alignment horizontal="left"/>
    </xf>
    <xf numFmtId="166" fontId="4" fillId="0" borderId="1" xfId="0" applyNumberFormat="1" applyFont="1" applyFill="1" applyBorder="1"/>
    <xf numFmtId="167" fontId="0" fillId="0" borderId="1" xfId="0" applyNumberFormat="1" applyFont="1" applyFill="1" applyBorder="1"/>
    <xf numFmtId="166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5" fontId="0" fillId="4" borderId="1" xfId="0" applyNumberFormat="1" applyFill="1" applyBorder="1" applyAlignment="1">
      <alignment horizontal="left" indent="1"/>
    </xf>
    <xf numFmtId="170" fontId="0" fillId="4" borderId="1" xfId="3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6" fontId="0" fillId="4" borderId="0" xfId="0" applyNumberFormat="1" applyFont="1" applyFill="1" applyBorder="1"/>
    <xf numFmtId="0" fontId="0" fillId="4" borderId="0" xfId="0" applyFont="1" applyFill="1"/>
    <xf numFmtId="166" fontId="2" fillId="4" borderId="0" xfId="1" applyNumberFormat="1" applyFont="1" applyFill="1" applyBorder="1"/>
    <xf numFmtId="0" fontId="16" fillId="0" borderId="0" xfId="0" applyFont="1"/>
    <xf numFmtId="3" fontId="0" fillId="0" borderId="0" xfId="0" applyNumberFormat="1"/>
    <xf numFmtId="0" fontId="0" fillId="9" borderId="0" xfId="0" applyFill="1"/>
    <xf numFmtId="0" fontId="0" fillId="10" borderId="0" xfId="0" applyFill="1"/>
    <xf numFmtId="164" fontId="0" fillId="7" borderId="1" xfId="0" applyNumberFormat="1" applyFont="1" applyFill="1" applyBorder="1"/>
    <xf numFmtId="164" fontId="0" fillId="11" borderId="1" xfId="0" applyNumberFormat="1" applyFont="1" applyFill="1" applyBorder="1"/>
    <xf numFmtId="3" fontId="0" fillId="0" borderId="0" xfId="0" applyNumberFormat="1" applyFill="1"/>
    <xf numFmtId="0" fontId="0" fillId="0" borderId="1" xfId="0" applyBorder="1" applyAlignment="1">
      <alignment horizontal="left" indent="1"/>
    </xf>
    <xf numFmtId="164" fontId="0" fillId="0" borderId="4" xfId="0" applyNumberFormat="1" applyBorder="1"/>
    <xf numFmtId="3" fontId="0" fillId="0" borderId="0" xfId="0" applyNumberFormat="1" applyFont="1" applyFill="1"/>
    <xf numFmtId="44" fontId="4" fillId="0" borderId="0" xfId="0" applyNumberFormat="1" applyFont="1" applyFill="1"/>
    <xf numFmtId="0" fontId="0" fillId="4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4" fontId="0" fillId="0" borderId="0" xfId="0" applyNumberFormat="1" applyFont="1" applyFill="1"/>
    <xf numFmtId="0" fontId="2" fillId="0" borderId="0" xfId="257"/>
    <xf numFmtId="0" fontId="2" fillId="0" borderId="0" xfId="257" applyFill="1"/>
    <xf numFmtId="0" fontId="2" fillId="0" borderId="0" xfId="0" applyFont="1"/>
    <xf numFmtId="164" fontId="0" fillId="3" borderId="1" xfId="0" applyNumberFormat="1" applyFont="1" applyFill="1" applyBorder="1"/>
    <xf numFmtId="3" fontId="9" fillId="0" borderId="0" xfId="0" applyNumberFormat="1" applyFont="1"/>
    <xf numFmtId="3" fontId="11" fillId="0" borderId="0" xfId="0" applyNumberFormat="1" applyFont="1" applyAlignment="1">
      <alignment horizontal="center"/>
    </xf>
    <xf numFmtId="166" fontId="4" fillId="3" borderId="3" xfId="1" applyNumberFormat="1" applyFont="1" applyFill="1" applyBorder="1"/>
    <xf numFmtId="164" fontId="2" fillId="7" borderId="1" xfId="0" applyNumberFormat="1" applyFont="1" applyFill="1" applyBorder="1"/>
    <xf numFmtId="164" fontId="2" fillId="8" borderId="1" xfId="0" applyNumberFormat="1" applyFont="1" applyFill="1" applyBorder="1"/>
    <xf numFmtId="166" fontId="4" fillId="3" borderId="1" xfId="1" applyNumberFormat="1" applyFont="1" applyFill="1" applyBorder="1"/>
    <xf numFmtId="0" fontId="0" fillId="0" borderId="0" xfId="257" applyFont="1" applyFill="1"/>
    <xf numFmtId="0" fontId="4" fillId="0" borderId="1" xfId="0" applyFont="1" applyFill="1" applyBorder="1"/>
    <xf numFmtId="164" fontId="4" fillId="0" borderId="1" xfId="1" applyFont="1" applyFill="1" applyBorder="1"/>
    <xf numFmtId="164" fontId="4" fillId="4" borderId="1" xfId="1" applyFont="1" applyFill="1" applyBorder="1"/>
    <xf numFmtId="166" fontId="0" fillId="0" borderId="1" xfId="0" applyNumberFormat="1" applyFill="1" applyBorder="1"/>
    <xf numFmtId="2" fontId="0" fillId="4" borderId="0" xfId="0" applyNumberFormat="1" applyFont="1" applyFill="1" applyAlignment="1">
      <alignment horizontal="center"/>
    </xf>
    <xf numFmtId="0" fontId="0" fillId="4" borderId="0" xfId="0" applyFont="1" applyFill="1" applyBorder="1"/>
    <xf numFmtId="164" fontId="0" fillId="4" borderId="0" xfId="0" applyNumberFormat="1" applyFont="1" applyFill="1" applyBorder="1"/>
    <xf numFmtId="0" fontId="0" fillId="4" borderId="0" xfId="0" applyFont="1" applyFill="1" applyBorder="1" applyAlignment="1">
      <alignment horizontal="center"/>
    </xf>
    <xf numFmtId="166" fontId="0" fillId="4" borderId="0" xfId="1" applyNumberFormat="1" applyFont="1" applyFill="1" applyBorder="1"/>
    <xf numFmtId="0" fontId="0" fillId="4" borderId="0" xfId="0" applyFont="1" applyFill="1" applyBorder="1" applyAlignment="1">
      <alignment horizontal="left" indent="2"/>
    </xf>
    <xf numFmtId="0" fontId="0" fillId="4" borderId="0" xfId="0" applyFont="1" applyFill="1" applyAlignment="1">
      <alignment horizontal="center"/>
    </xf>
    <xf numFmtId="164" fontId="0" fillId="4" borderId="0" xfId="0" applyNumberFormat="1" applyFont="1" applyFill="1"/>
    <xf numFmtId="3" fontId="9" fillId="4" borderId="0" xfId="0" applyNumberFormat="1" applyFont="1" applyFill="1"/>
    <xf numFmtId="3" fontId="11" fillId="4" borderId="0" xfId="0" applyNumberFormat="1" applyFont="1" applyFill="1" applyAlignment="1">
      <alignment horizontal="center"/>
    </xf>
    <xf numFmtId="0" fontId="17" fillId="0" borderId="0" xfId="0" applyFont="1"/>
    <xf numFmtId="6" fontId="0" fillId="0" borderId="0" xfId="0" applyNumberFormat="1"/>
    <xf numFmtId="8" fontId="0" fillId="0" borderId="0" xfId="0" applyNumberFormat="1"/>
    <xf numFmtId="0" fontId="16" fillId="0" borderId="0" xfId="0" applyFont="1" applyFill="1"/>
    <xf numFmtId="3" fontId="16" fillId="0" borderId="0" xfId="0" applyNumberFormat="1" applyFont="1" applyFill="1"/>
    <xf numFmtId="44" fontId="0" fillId="0" borderId="0" xfId="0" applyNumberFormat="1"/>
    <xf numFmtId="4" fontId="4" fillId="0" borderId="0" xfId="0" applyNumberFormat="1" applyFont="1" applyFill="1"/>
    <xf numFmtId="3" fontId="0" fillId="10" borderId="0" xfId="0" applyNumberFormat="1" applyFill="1"/>
    <xf numFmtId="0" fontId="0" fillId="4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</cellXfs>
  <cellStyles count="321">
    <cellStyle name="Currency" xfId="1" builtinId="4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Normal" xfId="0" builtinId="0"/>
    <cellStyle name="Normal 2" xfId="2"/>
    <cellStyle name="Normal 2 2" xfId="257"/>
    <cellStyle name="Normal 3" xfId="258"/>
    <cellStyle name="Percent" xfId="3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urner/Downloads/Dimensions%20proposal/Dimensions%20budget/Budget%20things%20for%20Aleksei/Dimensions%20NSF%20EHA%20Budget%202015%20March%2012%20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ravel UNAM"/>
      <sheetName val="Sheet1 (2)"/>
      <sheetName val="Travel (2)"/>
      <sheetName val="OLD"/>
      <sheetName val="CURRENT (2)"/>
    </sheetNames>
    <sheetDataSet>
      <sheetData sheetId="0">
        <row r="11">
          <cell r="B11">
            <v>16100</v>
          </cell>
          <cell r="C11">
            <v>14980</v>
          </cell>
          <cell r="D11">
            <v>4300</v>
          </cell>
        </row>
      </sheetData>
      <sheetData sheetId="1" refreshError="1"/>
      <sheetData sheetId="2" refreshError="1"/>
      <sheetData sheetId="3" refreshError="1"/>
      <sheetData sheetId="4">
        <row r="106">
          <cell r="I106">
            <v>233302.23333333334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2"/>
  <sheetViews>
    <sheetView workbookViewId="0">
      <selection activeCell="I15" sqref="I15"/>
    </sheetView>
  </sheetViews>
  <sheetFormatPr baseColWidth="10" defaultColWidth="11.25" defaultRowHeight="16" x14ac:dyDescent="0"/>
  <cols>
    <col min="1" max="1" width="4.25" customWidth="1"/>
    <col min="2" max="2" width="9.5" customWidth="1"/>
    <col min="3" max="3" width="21.5" customWidth="1"/>
    <col min="4" max="4" width="13.125" style="10" customWidth="1"/>
    <col min="5" max="5" width="11.875" style="10" customWidth="1"/>
    <col min="6" max="6" width="11.125" style="10" customWidth="1"/>
    <col min="7" max="7" width="10.625" style="10" hidden="1" customWidth="1"/>
    <col min="8" max="8" width="11.75" style="10" hidden="1" customWidth="1"/>
    <col min="9" max="9" width="17" style="11" customWidth="1"/>
    <col min="10" max="10" width="15.125" bestFit="1" customWidth="1"/>
    <col min="11" max="11" width="12" bestFit="1" customWidth="1"/>
  </cols>
  <sheetData>
    <row r="1" spans="1:16">
      <c r="D1" s="10" t="s">
        <v>8</v>
      </c>
      <c r="E1" s="10" t="s">
        <v>9</v>
      </c>
      <c r="F1" s="10" t="s">
        <v>11</v>
      </c>
      <c r="G1" s="10" t="s">
        <v>12</v>
      </c>
      <c r="H1" s="10" t="s">
        <v>13</v>
      </c>
      <c r="I1" s="11" t="s">
        <v>14</v>
      </c>
      <c r="J1" s="10" t="s">
        <v>31</v>
      </c>
    </row>
    <row r="2" spans="1:16">
      <c r="B2" s="6" t="s">
        <v>17</v>
      </c>
    </row>
    <row r="3" spans="1:16">
      <c r="A3" t="s">
        <v>18</v>
      </c>
      <c r="B3">
        <v>1</v>
      </c>
      <c r="C3" t="s">
        <v>33</v>
      </c>
      <c r="D3" s="11">
        <f>5394*3</f>
        <v>16182</v>
      </c>
      <c r="E3" s="11">
        <f t="shared" ref="E3:H7" si="0">D3*1.05</f>
        <v>16991.100000000002</v>
      </c>
      <c r="F3" s="11">
        <f t="shared" si="0"/>
        <v>17840.655000000002</v>
      </c>
      <c r="G3" s="11">
        <f t="shared" si="0"/>
        <v>18732.687750000005</v>
      </c>
      <c r="H3" s="11">
        <f>G3*1.04*2</f>
        <v>38963.990520000014</v>
      </c>
      <c r="J3" s="2">
        <f>SUM(D3:H3)*0.3</f>
        <v>32613.129981000009</v>
      </c>
    </row>
    <row r="4" spans="1:16">
      <c r="B4">
        <v>2</v>
      </c>
      <c r="C4" t="s">
        <v>34</v>
      </c>
      <c r="D4" s="10">
        <v>13333</v>
      </c>
      <c r="E4" s="11">
        <f t="shared" si="0"/>
        <v>13999.650000000001</v>
      </c>
      <c r="F4" s="11">
        <f t="shared" si="0"/>
        <v>14699.632500000002</v>
      </c>
      <c r="G4" s="11">
        <f t="shared" si="0"/>
        <v>15434.614125000002</v>
      </c>
      <c r="H4" s="11">
        <f>G4*1.05</f>
        <v>16206.344831250002</v>
      </c>
      <c r="J4" s="2">
        <f>SUM(D4:H4)*0.3</f>
        <v>22101.972436874999</v>
      </c>
      <c r="L4" s="2"/>
    </row>
    <row r="5" spans="1:16">
      <c r="B5">
        <v>6</v>
      </c>
      <c r="C5" t="s">
        <v>35</v>
      </c>
      <c r="D5" s="10">
        <v>35000</v>
      </c>
      <c r="E5" s="11">
        <f t="shared" si="0"/>
        <v>36750</v>
      </c>
      <c r="F5" s="11">
        <f t="shared" si="0"/>
        <v>38587.5</v>
      </c>
      <c r="G5" s="11">
        <f t="shared" si="0"/>
        <v>40516.875</v>
      </c>
      <c r="H5" s="11">
        <f t="shared" si="0"/>
        <v>42542.71875</v>
      </c>
      <c r="J5" s="2"/>
    </row>
    <row r="6" spans="1:16">
      <c r="B6">
        <v>2</v>
      </c>
      <c r="C6" t="s">
        <v>15</v>
      </c>
      <c r="D6" s="11">
        <v>11667</v>
      </c>
      <c r="E6" s="11">
        <f t="shared" si="0"/>
        <v>12250.35</v>
      </c>
      <c r="F6" s="11">
        <f t="shared" si="0"/>
        <v>12862.8675</v>
      </c>
      <c r="G6" s="11">
        <f t="shared" si="0"/>
        <v>13506.010875000002</v>
      </c>
      <c r="H6" s="11">
        <f>G6*1.05</f>
        <v>14181.311418750003</v>
      </c>
      <c r="I6" s="4"/>
      <c r="J6" s="2">
        <f>SUM(D6:H6)*0.3</f>
        <v>19340.261938125001</v>
      </c>
    </row>
    <row r="7" spans="1:16">
      <c r="A7" t="s">
        <v>19</v>
      </c>
      <c r="B7">
        <v>12</v>
      </c>
      <c r="C7" t="s">
        <v>58</v>
      </c>
      <c r="D7" s="11">
        <f>45000/4</f>
        <v>11250</v>
      </c>
      <c r="E7" s="11">
        <f t="shared" si="0"/>
        <v>11812.5</v>
      </c>
      <c r="F7" s="11">
        <f t="shared" si="0"/>
        <v>12403.125</v>
      </c>
      <c r="G7" s="11">
        <f t="shared" si="0"/>
        <v>13023.28125</v>
      </c>
      <c r="H7" s="11">
        <f>G7*1.05</f>
        <v>13674.4453125</v>
      </c>
      <c r="J7" s="2">
        <f>SUM(D7:H7)*0.3</f>
        <v>18649.005468749998</v>
      </c>
    </row>
    <row r="8" spans="1:16">
      <c r="A8" t="s">
        <v>20</v>
      </c>
      <c r="C8" t="s">
        <v>10</v>
      </c>
      <c r="D8" s="11">
        <f>(D3+D4+D6+D7)*0.323</f>
        <v>16935.536</v>
      </c>
      <c r="E8" s="11">
        <f>(E3+E4+E6+E7)*(0.323+0.01)</f>
        <v>18332.848800000003</v>
      </c>
      <c r="F8" s="11">
        <f>(F3+F4+F6+F7)*(0.323+0.02)</f>
        <v>19827.554040000003</v>
      </c>
      <c r="G8" s="11">
        <f>(G3+G4+G6+G7)*0.323</f>
        <v>19604.999862000001</v>
      </c>
      <c r="H8" s="11">
        <f>(H3+H4+H6+H7)*0.323</f>
        <v>26817.427742647509</v>
      </c>
    </row>
    <row r="9" spans="1:16">
      <c r="A9" t="s">
        <v>2</v>
      </c>
      <c r="C9" t="s">
        <v>21</v>
      </c>
      <c r="D9" s="11" t="e">
        <f>#REF!</f>
        <v>#REF!</v>
      </c>
      <c r="E9" s="11" t="e">
        <f>#REF!</f>
        <v>#REF!</v>
      </c>
      <c r="F9" s="11" t="e">
        <f>#REF!</f>
        <v>#REF!</v>
      </c>
      <c r="G9" s="11" t="e">
        <f>#REF!</f>
        <v>#REF!</v>
      </c>
      <c r="H9" s="11" t="e">
        <f>#REF!</f>
        <v>#REF!</v>
      </c>
    </row>
    <row r="10" spans="1:16">
      <c r="A10" t="s">
        <v>22</v>
      </c>
      <c r="C10" s="30" t="s">
        <v>36</v>
      </c>
      <c r="D10" s="10">
        <f>10062-3937</f>
        <v>6125</v>
      </c>
      <c r="E10" s="10">
        <v>3000</v>
      </c>
      <c r="F10" s="10">
        <v>1200</v>
      </c>
      <c r="G10" s="10">
        <v>5605</v>
      </c>
      <c r="H10" s="14">
        <v>2940</v>
      </c>
    </row>
    <row r="11" spans="1:16">
      <c r="C11" s="31" t="s">
        <v>23</v>
      </c>
      <c r="D11" s="10">
        <f>2479*3</f>
        <v>7437</v>
      </c>
      <c r="E11" s="10">
        <v>3000</v>
      </c>
    </row>
    <row r="12" spans="1:16">
      <c r="A12" t="s">
        <v>3</v>
      </c>
      <c r="C12" s="31" t="s">
        <v>4</v>
      </c>
      <c r="E12" s="10">
        <f>1900+500</f>
        <v>2400</v>
      </c>
      <c r="F12" s="10">
        <f>1900*2</f>
        <v>3800</v>
      </c>
      <c r="G12" s="10">
        <f>1900+500</f>
        <v>2400</v>
      </c>
      <c r="H12" s="10">
        <f>1900+500</f>
        <v>2400</v>
      </c>
      <c r="K12" s="2"/>
    </row>
    <row r="13" spans="1:16">
      <c r="K13" s="2"/>
      <c r="M13" t="s">
        <v>52</v>
      </c>
      <c r="N13" t="s">
        <v>53</v>
      </c>
      <c r="O13" t="s">
        <v>54</v>
      </c>
    </row>
    <row r="14" spans="1:16">
      <c r="A14" t="s">
        <v>25</v>
      </c>
      <c r="C14" t="s">
        <v>24</v>
      </c>
      <c r="D14" s="10">
        <v>1750</v>
      </c>
      <c r="E14" s="10">
        <f>D14</f>
        <v>1750</v>
      </c>
      <c r="F14" s="10">
        <v>1400</v>
      </c>
      <c r="G14" s="10">
        <f>F14</f>
        <v>1400</v>
      </c>
      <c r="H14" s="10">
        <v>1300</v>
      </c>
      <c r="K14" s="2"/>
      <c r="L14" t="s">
        <v>55</v>
      </c>
      <c r="M14">
        <v>0.05</v>
      </c>
      <c r="N14">
        <v>0.05</v>
      </c>
      <c r="O14">
        <v>0.05</v>
      </c>
      <c r="P14">
        <v>0.15</v>
      </c>
    </row>
    <row r="15" spans="1:16" s="6" customFormat="1">
      <c r="C15" s="25" t="s">
        <v>30</v>
      </c>
      <c r="D15" s="24" t="e">
        <f>SUM(D3:D14)</f>
        <v>#REF!</v>
      </c>
      <c r="E15" s="24" t="e">
        <f>SUM(E3:E14)</f>
        <v>#REF!</v>
      </c>
      <c r="F15" s="24" t="e">
        <f>SUM(F3:F14)</f>
        <v>#REF!</v>
      </c>
      <c r="G15" s="24" t="e">
        <f>SUM(G3:G14)</f>
        <v>#REF!</v>
      </c>
      <c r="H15" s="24" t="e">
        <f>SUM(H3:H14)</f>
        <v>#REF!</v>
      </c>
      <c r="I15" s="12" t="e">
        <f>SUM(D15:H15)</f>
        <v>#REF!</v>
      </c>
      <c r="J15" s="8"/>
      <c r="L15" s="6" t="s">
        <v>56</v>
      </c>
      <c r="M15" s="6">
        <v>0.4</v>
      </c>
      <c r="N15" s="6">
        <v>0.4</v>
      </c>
      <c r="O15" s="6">
        <v>0.4</v>
      </c>
      <c r="P15" s="6">
        <v>1.2</v>
      </c>
    </row>
    <row r="16" spans="1:16" s="6" customFormat="1">
      <c r="C16" t="s">
        <v>37</v>
      </c>
      <c r="D16" s="10">
        <v>28900</v>
      </c>
      <c r="E16" s="11">
        <v>22414</v>
      </c>
      <c r="F16" s="11"/>
      <c r="G16" s="10"/>
      <c r="H16" s="11"/>
      <c r="I16" s="12"/>
      <c r="J16" s="8"/>
      <c r="L16" s="6" t="s">
        <v>57</v>
      </c>
      <c r="M16" s="6">
        <v>0.215</v>
      </c>
      <c r="N16" s="6">
        <v>0.215</v>
      </c>
      <c r="O16" s="6">
        <v>0.22</v>
      </c>
      <c r="P16" s="6">
        <v>0.65</v>
      </c>
    </row>
    <row r="17" spans="1:16">
      <c r="C17" t="s">
        <v>16</v>
      </c>
      <c r="D17" s="11" t="e">
        <f>(D15)*0.441</f>
        <v>#REF!</v>
      </c>
      <c r="E17" s="11" t="e">
        <f>(E15)*0.441</f>
        <v>#REF!</v>
      </c>
      <c r="F17" s="11" t="e">
        <f>(F15)*0.441</f>
        <v>#REF!</v>
      </c>
      <c r="G17" s="11" t="e">
        <f>(G15)*0.441</f>
        <v>#REF!</v>
      </c>
      <c r="H17" s="11" t="e">
        <f>(H15)*0.441</f>
        <v>#REF!</v>
      </c>
      <c r="I17" s="12"/>
      <c r="J17" s="1"/>
      <c r="P17">
        <v>2</v>
      </c>
    </row>
    <row r="18" spans="1:16">
      <c r="C18" t="s">
        <v>29</v>
      </c>
      <c r="D18" s="11">
        <f>(7500*2)</f>
        <v>15000</v>
      </c>
      <c r="E18" s="11">
        <f>(7500*2)</f>
        <v>15000</v>
      </c>
      <c r="F18" s="11">
        <f>(7500*2)</f>
        <v>15000</v>
      </c>
      <c r="G18" s="11">
        <f>(7500*2)</f>
        <v>15000</v>
      </c>
      <c r="H18" s="11">
        <f>(7500*2)</f>
        <v>15000</v>
      </c>
      <c r="J18" s="1"/>
    </row>
    <row r="19" spans="1:16" s="6" customFormat="1">
      <c r="A19" t="s">
        <v>26</v>
      </c>
      <c r="C19" s="25" t="s">
        <v>28</v>
      </c>
      <c r="D19" s="24" t="e">
        <f>D15+D17+D18+D16</f>
        <v>#REF!</v>
      </c>
      <c r="E19" s="24" t="e">
        <f>E15+E17+E18+E16</f>
        <v>#REF!</v>
      </c>
      <c r="F19" s="24" t="e">
        <f>F15+F17+F18+F16</f>
        <v>#REF!</v>
      </c>
      <c r="G19" s="24" t="e">
        <f>G15+G17+G18+G16</f>
        <v>#REF!</v>
      </c>
      <c r="H19" s="24" t="e">
        <f>H15+H17+H18+H16</f>
        <v>#REF!</v>
      </c>
      <c r="I19" s="24" t="e">
        <f>SUM(D19:H19)</f>
        <v>#REF!</v>
      </c>
      <c r="J19" s="8"/>
    </row>
    <row r="20" spans="1:16">
      <c r="C20" s="27" t="s">
        <v>27</v>
      </c>
      <c r="D20" s="23">
        <f>D31+D42</f>
        <v>479500</v>
      </c>
      <c r="E20" s="23">
        <f>E31+E42</f>
        <v>476503.33333333337</v>
      </c>
      <c r="F20" s="23">
        <f>F31+F42</f>
        <v>481178.5</v>
      </c>
      <c r="G20" s="23">
        <f>G31+G42</f>
        <v>33050</v>
      </c>
      <c r="H20" s="23">
        <f>H31+H42</f>
        <v>33050</v>
      </c>
      <c r="I20" s="11" t="s">
        <v>47</v>
      </c>
      <c r="J20" s="1"/>
    </row>
    <row r="21" spans="1:16" s="9" customFormat="1">
      <c r="B21" s="9" t="s">
        <v>48</v>
      </c>
      <c r="D21" s="13" t="e">
        <f>D15+D16+D31+D42</f>
        <v>#REF!</v>
      </c>
      <c r="E21" s="13" t="e">
        <f>E19+E20-1</f>
        <v>#REF!</v>
      </c>
      <c r="F21" s="13" t="e">
        <f>F19+F20-1</f>
        <v>#REF!</v>
      </c>
      <c r="G21" s="13" t="e">
        <f>G19+G20</f>
        <v>#REF!</v>
      </c>
      <c r="H21" s="13" t="e">
        <f>H19+H20+1</f>
        <v>#REF!</v>
      </c>
      <c r="I21" s="13" t="e">
        <f>SUM(D21:F21)</f>
        <v>#REF!</v>
      </c>
      <c r="J21" s="22"/>
    </row>
    <row r="22" spans="1:16" s="9" customFormat="1">
      <c r="B22" s="9" t="s">
        <v>49</v>
      </c>
      <c r="D22" s="13" t="e">
        <f>D18+D17</f>
        <v>#REF!</v>
      </c>
      <c r="E22" s="13" t="e">
        <f>E18+E17</f>
        <v>#REF!</v>
      </c>
      <c r="F22" s="13" t="e">
        <f>F18+F17</f>
        <v>#REF!</v>
      </c>
      <c r="G22" s="13" t="e">
        <f>G18+G17</f>
        <v>#REF!</v>
      </c>
      <c r="H22" s="13" t="e">
        <f>H18+H17</f>
        <v>#REF!</v>
      </c>
      <c r="I22" s="13" t="e">
        <f>SUM(D22:F22)</f>
        <v>#REF!</v>
      </c>
      <c r="J22" s="22"/>
    </row>
    <row r="23" spans="1:16" s="9" customFormat="1">
      <c r="B23" s="9" t="s">
        <v>0</v>
      </c>
      <c r="D23" s="13"/>
      <c r="E23" s="13"/>
      <c r="F23" s="13"/>
      <c r="G23" s="13"/>
      <c r="H23" s="13"/>
      <c r="I23" s="13" t="e">
        <f>SUM(I21:I22)</f>
        <v>#REF!</v>
      </c>
      <c r="J23" s="22"/>
    </row>
    <row r="24" spans="1:16">
      <c r="A24" t="s">
        <v>5</v>
      </c>
      <c r="B24" s="6" t="s">
        <v>38</v>
      </c>
    </row>
    <row r="25" spans="1:16">
      <c r="C25" t="s">
        <v>6</v>
      </c>
      <c r="D25" s="28">
        <v>166667</v>
      </c>
      <c r="E25" s="28">
        <f>D25+(D25*0.095)</f>
        <v>182500.36499999999</v>
      </c>
      <c r="F25" s="28">
        <f>E25+(E25*0.095)</f>
        <v>199837.89967499999</v>
      </c>
      <c r="G25" s="28"/>
      <c r="H25" s="28"/>
      <c r="I25" s="10">
        <f>SUM(D25:H25)</f>
        <v>549005.26467499998</v>
      </c>
    </row>
    <row r="26" spans="1:16">
      <c r="I26" s="10"/>
    </row>
    <row r="27" spans="1:16">
      <c r="I27" s="10"/>
      <c r="J27" s="2"/>
      <c r="K27" s="2"/>
    </row>
    <row r="28" spans="1:16">
      <c r="D28" s="14"/>
      <c r="E28" s="14"/>
      <c r="F28" s="14"/>
      <c r="G28" s="14"/>
      <c r="H28" s="14"/>
      <c r="I28" s="10"/>
      <c r="K28" s="17"/>
      <c r="L28" s="16"/>
      <c r="M28" s="16"/>
    </row>
    <row r="29" spans="1:16">
      <c r="C29" t="s">
        <v>7</v>
      </c>
      <c r="D29" s="28">
        <f>D25*0.6</f>
        <v>100000.2</v>
      </c>
      <c r="E29" s="28">
        <f>E25*0.6</f>
        <v>109500.219</v>
      </c>
      <c r="F29" s="28">
        <f>F25*0.6</f>
        <v>119902.73980499999</v>
      </c>
      <c r="G29" s="28">
        <f>G25*0.6</f>
        <v>0</v>
      </c>
      <c r="H29" s="28">
        <f>H25*0.6</f>
        <v>0</v>
      </c>
      <c r="I29" s="10">
        <f>SUM(D29:H29)</f>
        <v>329403.15880500001</v>
      </c>
      <c r="J29" s="20"/>
      <c r="K29" s="21"/>
      <c r="L29" s="14"/>
      <c r="M29" s="14"/>
    </row>
    <row r="30" spans="1:16">
      <c r="C30" t="s">
        <v>32</v>
      </c>
      <c r="D30" s="28">
        <f>(D29+D25)*0.03</f>
        <v>8000.0159999999996</v>
      </c>
      <c r="E30" s="28">
        <f>(E29+E25)*0.03</f>
        <v>8760.0175199999994</v>
      </c>
      <c r="F30" s="28">
        <f>(F29+F25)*0.03</f>
        <v>9592.2191844000008</v>
      </c>
      <c r="G30" s="28">
        <f>(G29+G25)*0.03</f>
        <v>0</v>
      </c>
      <c r="H30" s="28">
        <f>(H29+H25)*0.03</f>
        <v>0</v>
      </c>
      <c r="I30" s="10">
        <f>SUM(D30:H30)</f>
        <v>26352.252704399998</v>
      </c>
      <c r="J30" s="20"/>
      <c r="K30" s="21"/>
      <c r="L30" s="14"/>
      <c r="M30" s="14"/>
    </row>
    <row r="31" spans="1:16" s="6" customFormat="1">
      <c r="C31" s="25" t="s">
        <v>39</v>
      </c>
      <c r="D31" s="26">
        <v>400000</v>
      </c>
      <c r="E31" s="26">
        <v>400000</v>
      </c>
      <c r="F31" s="26">
        <v>400000</v>
      </c>
      <c r="G31" s="26">
        <f>G30+G29+G25</f>
        <v>0</v>
      </c>
      <c r="H31" s="26">
        <f>H30+H29+H25</f>
        <v>0</v>
      </c>
      <c r="I31" s="26">
        <f>SUM(D31:H31)</f>
        <v>1200000</v>
      </c>
      <c r="J31" s="7">
        <f>SUM(I25:I30)</f>
        <v>904760.67618439998</v>
      </c>
    </row>
    <row r="32" spans="1:16">
      <c r="B32" s="6" t="s">
        <v>40</v>
      </c>
      <c r="D32" s="14"/>
      <c r="E32" s="14"/>
      <c r="F32" s="14"/>
      <c r="G32" s="14"/>
      <c r="H32" s="14"/>
      <c r="J32" s="2"/>
    </row>
    <row r="33" spans="2:10">
      <c r="B33">
        <v>2</v>
      </c>
      <c r="C33" t="s">
        <v>41</v>
      </c>
      <c r="D33" s="10">
        <v>15000</v>
      </c>
      <c r="E33" s="11">
        <f>D33*1.05</f>
        <v>15750</v>
      </c>
      <c r="F33" s="11">
        <f>E33*1.05</f>
        <v>16537.5</v>
      </c>
      <c r="H33" s="14"/>
    </row>
    <row r="34" spans="2:10">
      <c r="B34" t="s">
        <v>43</v>
      </c>
      <c r="C34" t="s">
        <v>42</v>
      </c>
      <c r="D34" s="10">
        <f>1500*6</f>
        <v>9000</v>
      </c>
      <c r="E34" s="15">
        <v>3000</v>
      </c>
      <c r="F34" s="15">
        <v>5000</v>
      </c>
      <c r="H34" s="14"/>
    </row>
    <row r="35" spans="2:10">
      <c r="C35" t="s">
        <v>44</v>
      </c>
      <c r="D35" s="14">
        <f>1000*12</f>
        <v>12000</v>
      </c>
      <c r="E35" s="14">
        <f>1000*12</f>
        <v>12000</v>
      </c>
      <c r="F35" s="14">
        <f>1000*12</f>
        <v>12000</v>
      </c>
      <c r="G35" s="14"/>
      <c r="H35" s="14"/>
    </row>
    <row r="36" spans="2:10" s="1" customFormat="1">
      <c r="C36" s="3" t="s">
        <v>45</v>
      </c>
      <c r="D36" s="18">
        <v>6500</v>
      </c>
      <c r="E36" s="18">
        <v>6500</v>
      </c>
      <c r="F36" s="18">
        <v>6500</v>
      </c>
      <c r="G36" s="15"/>
      <c r="H36" s="15"/>
      <c r="I36" s="11"/>
    </row>
    <row r="37" spans="2:10" s="1" customFormat="1">
      <c r="C37" s="1" t="s">
        <v>46</v>
      </c>
      <c r="D37" s="15">
        <v>3000</v>
      </c>
      <c r="E37" s="19">
        <f>((12500/30)*20)+((255*20)+((108)*40))</f>
        <v>17753.333333333336</v>
      </c>
      <c r="F37" s="15">
        <f>E37*1.05</f>
        <v>18641.000000000004</v>
      </c>
      <c r="G37" s="15"/>
      <c r="H37" s="15"/>
      <c r="I37" s="11"/>
    </row>
    <row r="38" spans="2:10" s="1" customFormat="1">
      <c r="C38" t="s">
        <v>51</v>
      </c>
      <c r="D38" s="29">
        <v>20000</v>
      </c>
      <c r="E38" s="29">
        <v>20000</v>
      </c>
      <c r="F38" s="29">
        <v>20000</v>
      </c>
      <c r="G38" s="5">
        <f>(200000/8/5)+(4/8*150*364)+(500/8*12)</f>
        <v>33050</v>
      </c>
      <c r="H38" s="5">
        <f>G38</f>
        <v>33050</v>
      </c>
      <c r="I38" s="11"/>
    </row>
    <row r="39" spans="2:10" s="1" customFormat="1">
      <c r="C39" t="s">
        <v>50</v>
      </c>
      <c r="D39" s="15">
        <v>13000</v>
      </c>
      <c r="E39" s="15"/>
      <c r="F39" s="15"/>
      <c r="G39" s="15"/>
      <c r="H39" s="15"/>
      <c r="I39" s="11"/>
    </row>
    <row r="40" spans="2:10" s="1" customFormat="1">
      <c r="C40" t="s">
        <v>1</v>
      </c>
      <c r="D40" s="15">
        <v>1000</v>
      </c>
      <c r="E40" s="15">
        <v>1000</v>
      </c>
      <c r="F40" s="15">
        <v>1000</v>
      </c>
      <c r="G40" s="15"/>
      <c r="H40" s="15"/>
      <c r="I40" s="11"/>
    </row>
    <row r="41" spans="2:10" s="1" customFormat="1">
      <c r="B41" s="18"/>
      <c r="C41" s="1" t="s">
        <v>4</v>
      </c>
      <c r="D41" s="15">
        <v>0</v>
      </c>
      <c r="E41" s="15">
        <v>500</v>
      </c>
      <c r="F41" s="15">
        <v>1500</v>
      </c>
      <c r="G41" s="15"/>
      <c r="H41" s="15"/>
      <c r="I41" s="11"/>
    </row>
    <row r="42" spans="2:10" s="6" customFormat="1">
      <c r="C42" s="25" t="s">
        <v>14</v>
      </c>
      <c r="D42" s="26">
        <f>SUM(D33:D41)</f>
        <v>79500</v>
      </c>
      <c r="E42" s="26">
        <f>SUM(E33:E41)</f>
        <v>76503.333333333343</v>
      </c>
      <c r="F42" s="26">
        <f>SUM(F33:F41)</f>
        <v>81178.5</v>
      </c>
      <c r="G42" s="26">
        <f>SUM(G33:G41)</f>
        <v>33050</v>
      </c>
      <c r="H42" s="26">
        <f>SUM(H33:H41)</f>
        <v>33050</v>
      </c>
      <c r="I42" s="26">
        <f>SUM(D42:H42)</f>
        <v>303281.83333333337</v>
      </c>
      <c r="J42" s="7"/>
    </row>
  </sheetData>
  <pageMargins left="0.25" right="0.25" top="1" bottom="1" header="0.5" footer="0.5"/>
  <pageSetup orientation="landscape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ZN119"/>
  <sheetViews>
    <sheetView tabSelected="1" zoomScale="150" zoomScaleNormal="150" zoomScalePageLayoutView="150" workbookViewId="0">
      <pane ySplit="3" topLeftCell="A4" activePane="bottomLeft" state="frozen"/>
      <selection pane="bottomLeft" activeCell="D4" sqref="D4"/>
    </sheetView>
  </sheetViews>
  <sheetFormatPr baseColWidth="10" defaultRowHeight="16" x14ac:dyDescent="0"/>
  <cols>
    <col min="1" max="2" width="4.875" style="35" bestFit="1" customWidth="1"/>
    <col min="3" max="3" width="11" style="35" bestFit="1" customWidth="1"/>
    <col min="4" max="4" width="9.5" style="39" bestFit="1" customWidth="1"/>
    <col min="5" max="5" width="50.125" style="35" bestFit="1" customWidth="1"/>
    <col min="6" max="6" width="12.625" style="35" customWidth="1"/>
    <col min="7" max="7" width="12.125" style="35" customWidth="1"/>
    <col min="8" max="8" width="12.25" style="35" customWidth="1"/>
    <col min="9" max="9" width="13.25" style="35" customWidth="1"/>
    <col min="10" max="10" width="15.375" style="35" bestFit="1" customWidth="1"/>
    <col min="11" max="11" width="12" style="35" bestFit="1" customWidth="1"/>
    <col min="12" max="12" width="11" style="35" bestFit="1" customWidth="1"/>
    <col min="13" max="13" width="1.875" style="35" bestFit="1" customWidth="1"/>
    <col min="14" max="15" width="3.875" style="35" bestFit="1" customWidth="1"/>
    <col min="16" max="16" width="8.625" style="35" bestFit="1" customWidth="1"/>
    <col min="17" max="17" width="15.75" style="35" bestFit="1" customWidth="1"/>
    <col min="18" max="18" width="7.625" style="35" bestFit="1" customWidth="1"/>
    <col min="19" max="20" width="8.625" style="35" bestFit="1" customWidth="1"/>
    <col min="21" max="16384" width="10.625" style="35"/>
  </cols>
  <sheetData>
    <row r="1" spans="1:21">
      <c r="E1" s="35" t="s">
        <v>57</v>
      </c>
    </row>
    <row r="2" spans="1:21" s="95" customFormat="1">
      <c r="A2" s="145" t="s">
        <v>108</v>
      </c>
      <c r="B2" s="145"/>
      <c r="C2" s="145"/>
      <c r="D2" s="46"/>
      <c r="E2" s="109"/>
      <c r="F2" s="109" t="s">
        <v>59</v>
      </c>
      <c r="G2" s="109" t="s">
        <v>60</v>
      </c>
      <c r="H2" s="109" t="s">
        <v>61</v>
      </c>
      <c r="I2" s="109" t="s">
        <v>62</v>
      </c>
      <c r="J2" s="133"/>
    </row>
    <row r="3" spans="1:21">
      <c r="A3" s="90" t="s">
        <v>59</v>
      </c>
      <c r="B3" s="90" t="s">
        <v>60</v>
      </c>
      <c r="C3" s="90" t="s">
        <v>61</v>
      </c>
      <c r="D3" s="59" t="s">
        <v>107</v>
      </c>
      <c r="E3" s="90" t="s">
        <v>64</v>
      </c>
      <c r="F3" s="33">
        <v>0.35099999999999998</v>
      </c>
      <c r="G3" s="33">
        <v>0.35099999999999998</v>
      </c>
      <c r="H3" s="33">
        <v>0.35099999999999998</v>
      </c>
      <c r="I3" s="36"/>
      <c r="J3" s="53"/>
    </row>
    <row r="4" spans="1:21">
      <c r="A4" s="90">
        <v>0.75</v>
      </c>
      <c r="B4" s="90">
        <v>0.75</v>
      </c>
      <c r="C4" s="90">
        <v>0.75</v>
      </c>
      <c r="D4" s="34">
        <f>263500</f>
        <v>263500</v>
      </c>
      <c r="E4" s="37" t="s">
        <v>109</v>
      </c>
      <c r="F4" s="82">
        <f>(D4/12)*A4</f>
        <v>16468.75</v>
      </c>
      <c r="G4" s="82">
        <f>((D4)*(1+0.05)/12)*B4</f>
        <v>17292.1875</v>
      </c>
      <c r="H4" s="82">
        <f>((D4)*((1+0.05)^2)/12)*C4</f>
        <v>18156.796875</v>
      </c>
      <c r="I4" s="70">
        <f t="shared" ref="I4:I21" si="0">SUM(F4:H4)</f>
        <v>51917.734375</v>
      </c>
      <c r="J4" s="58"/>
    </row>
    <row r="5" spans="1:21">
      <c r="A5" s="93">
        <v>0.75</v>
      </c>
      <c r="B5" s="93">
        <v>0.75</v>
      </c>
      <c r="C5" s="93">
        <v>0.75</v>
      </c>
      <c r="D5" s="34">
        <f>263500</f>
        <v>263500</v>
      </c>
      <c r="E5" s="37" t="s">
        <v>109</v>
      </c>
      <c r="F5" s="82">
        <f>($F$4+$G$4+$H$4)/3</f>
        <v>17305.911458333332</v>
      </c>
      <c r="G5" s="82">
        <f t="shared" ref="G5:H5" si="1">($F$4+$G$4+$H$4)/3</f>
        <v>17305.911458333332</v>
      </c>
      <c r="H5" s="82">
        <f t="shared" si="1"/>
        <v>17305.911458333332</v>
      </c>
      <c r="I5" s="70">
        <f t="shared" si="0"/>
        <v>51917.734375</v>
      </c>
      <c r="J5" s="58"/>
    </row>
    <row r="6" spans="1:21" s="95" customFormat="1">
      <c r="A6" s="109"/>
      <c r="B6" s="109"/>
      <c r="C6" s="109"/>
      <c r="D6" s="63"/>
      <c r="E6" s="51" t="s">
        <v>65</v>
      </c>
      <c r="F6" s="83">
        <f>F$3*F5</f>
        <v>6074.374921874999</v>
      </c>
      <c r="G6" s="83">
        <f t="shared" ref="G6:H6" si="2">G$3*G5</f>
        <v>6074.374921874999</v>
      </c>
      <c r="H6" s="83">
        <f t="shared" si="2"/>
        <v>6074.374921874999</v>
      </c>
      <c r="I6" s="64">
        <f t="shared" si="0"/>
        <v>18223.124765624998</v>
      </c>
      <c r="J6" s="127"/>
    </row>
    <row r="7" spans="1:21">
      <c r="A7" s="90">
        <v>2</v>
      </c>
      <c r="B7" s="90">
        <v>2</v>
      </c>
      <c r="C7" s="90">
        <v>2</v>
      </c>
      <c r="D7" s="34">
        <v>70000</v>
      </c>
      <c r="E7" s="37" t="s">
        <v>110</v>
      </c>
      <c r="F7" s="82">
        <f>(D7/12)*A7</f>
        <v>11666.666666666666</v>
      </c>
      <c r="G7" s="82">
        <f>((D7)*((1+0.05)^1)/12)*B7</f>
        <v>12250</v>
      </c>
      <c r="H7" s="82">
        <f>((D7)*((1+0.05)^2)/12)*C7</f>
        <v>12862.5</v>
      </c>
      <c r="I7" s="70">
        <f t="shared" si="0"/>
        <v>36779.166666666664</v>
      </c>
      <c r="J7" s="58"/>
      <c r="K7" s="67"/>
      <c r="L7" s="68"/>
      <c r="M7" s="66"/>
      <c r="N7" s="56"/>
      <c r="O7" s="56"/>
      <c r="P7" s="56"/>
      <c r="Q7" s="56"/>
    </row>
    <row r="8" spans="1:21">
      <c r="A8" s="93">
        <v>2</v>
      </c>
      <c r="B8" s="93">
        <v>2</v>
      </c>
      <c r="C8" s="93">
        <v>2</v>
      </c>
      <c r="D8" s="34">
        <v>70000</v>
      </c>
      <c r="E8" s="37" t="s">
        <v>110</v>
      </c>
      <c r="F8" s="82">
        <f>SUM($F$7:$H$7)/3</f>
        <v>12259.722222222221</v>
      </c>
      <c r="G8" s="82">
        <f t="shared" ref="G8:H8" si="3">SUM($F$7:$H$7)/3</f>
        <v>12259.722222222221</v>
      </c>
      <c r="H8" s="82">
        <f t="shared" si="3"/>
        <v>12259.722222222221</v>
      </c>
      <c r="I8" s="70">
        <f t="shared" si="0"/>
        <v>36779.166666666664</v>
      </c>
      <c r="J8" s="58"/>
      <c r="K8" s="67"/>
      <c r="L8" s="68"/>
      <c r="M8" s="66"/>
      <c r="N8" s="56"/>
      <c r="O8" s="56"/>
      <c r="P8" s="56"/>
      <c r="Q8" s="56"/>
    </row>
    <row r="9" spans="1:21" s="95" customFormat="1">
      <c r="A9" s="109"/>
      <c r="B9" s="109"/>
      <c r="C9" s="109"/>
      <c r="D9" s="63"/>
      <c r="E9" s="51" t="s">
        <v>67</v>
      </c>
      <c r="F9" s="83">
        <f>F$3*F8</f>
        <v>4303.1624999999995</v>
      </c>
      <c r="G9" s="83">
        <f t="shared" ref="G9:H9" si="4">G$3*G8</f>
        <v>4303.1624999999995</v>
      </c>
      <c r="H9" s="83">
        <f t="shared" si="4"/>
        <v>4303.1624999999995</v>
      </c>
      <c r="I9" s="64">
        <f t="shared" si="0"/>
        <v>12909.487499999999</v>
      </c>
      <c r="J9" s="127"/>
      <c r="K9" s="128"/>
      <c r="L9" s="94"/>
      <c r="M9" s="128"/>
    </row>
    <row r="10" spans="1:21">
      <c r="A10" s="90">
        <v>1.5</v>
      </c>
      <c r="B10" s="90">
        <v>1.5</v>
      </c>
      <c r="C10" s="90">
        <v>1</v>
      </c>
      <c r="D10" s="34">
        <f>71400</f>
        <v>71400</v>
      </c>
      <c r="E10" s="37" t="s">
        <v>112</v>
      </c>
      <c r="F10" s="82">
        <f>(D10/12)*A10</f>
        <v>8925</v>
      </c>
      <c r="G10" s="82">
        <f>((D10)*((1+0.05)^1)/12)*B10</f>
        <v>9371.25</v>
      </c>
      <c r="H10" s="82">
        <f>((D10)*((1+0.05)^2)/12)*C10</f>
        <v>6559.875</v>
      </c>
      <c r="I10" s="70">
        <f t="shared" si="0"/>
        <v>24856.125</v>
      </c>
      <c r="J10" s="58"/>
      <c r="K10" s="66"/>
      <c r="L10" s="69"/>
      <c r="M10" s="66"/>
    </row>
    <row r="11" spans="1:21">
      <c r="A11" s="93">
        <v>1</v>
      </c>
      <c r="B11" s="93">
        <v>1</v>
      </c>
      <c r="C11" s="93">
        <v>1</v>
      </c>
      <c r="D11" s="34">
        <f>71400</f>
        <v>71400</v>
      </c>
      <c r="E11" s="37" t="s">
        <v>112</v>
      </c>
      <c r="F11" s="82">
        <f>SUM($F$10:$H$10)/3</f>
        <v>8285.375</v>
      </c>
      <c r="G11" s="82">
        <f t="shared" ref="G11:H11" si="5">SUM($F$10:$H$10)/3</f>
        <v>8285.375</v>
      </c>
      <c r="H11" s="82">
        <f t="shared" si="5"/>
        <v>8285.375</v>
      </c>
      <c r="I11" s="70">
        <f t="shared" si="0"/>
        <v>24856.125</v>
      </c>
      <c r="J11" s="58"/>
      <c r="K11" s="66"/>
      <c r="L11" s="69"/>
      <c r="M11" s="66"/>
    </row>
    <row r="12" spans="1:21" s="95" customFormat="1">
      <c r="A12" s="109"/>
      <c r="B12" s="109"/>
      <c r="C12" s="109"/>
      <c r="D12" s="63"/>
      <c r="E12" s="51" t="s">
        <v>68</v>
      </c>
      <c r="F12" s="83">
        <f>F$3*F11</f>
        <v>2908.1666249999998</v>
      </c>
      <c r="G12" s="83">
        <f t="shared" ref="G12:H12" si="6">G$3*G11</f>
        <v>2908.1666249999998</v>
      </c>
      <c r="H12" s="83">
        <f t="shared" si="6"/>
        <v>2908.1666249999998</v>
      </c>
      <c r="I12" s="64">
        <f t="shared" si="0"/>
        <v>8724.4998749999995</v>
      </c>
      <c r="J12" s="127"/>
      <c r="K12" s="128"/>
      <c r="L12" s="129"/>
      <c r="M12" s="128"/>
    </row>
    <row r="13" spans="1:21">
      <c r="A13" s="90">
        <v>1</v>
      </c>
      <c r="B13" s="90">
        <v>1</v>
      </c>
      <c r="C13" s="90">
        <v>1</v>
      </c>
      <c r="D13" s="34">
        <v>77700</v>
      </c>
      <c r="E13" s="37" t="s">
        <v>111</v>
      </c>
      <c r="F13" s="82">
        <f>(D13/12)*A13</f>
        <v>6475</v>
      </c>
      <c r="G13" s="82">
        <f>((D13)*((1+0.05)^1)/12)*B13</f>
        <v>6798.75</v>
      </c>
      <c r="H13" s="82">
        <f>((D13)*((1+0.05)^2)/12)*C13</f>
        <v>7138.6875</v>
      </c>
      <c r="I13" s="70">
        <f t="shared" si="0"/>
        <v>20412.4375</v>
      </c>
      <c r="J13" s="58"/>
      <c r="K13" s="69"/>
      <c r="L13" s="69"/>
      <c r="M13" s="72"/>
      <c r="N13" s="72"/>
      <c r="O13" s="72"/>
      <c r="P13" s="73"/>
      <c r="Q13" s="74"/>
      <c r="R13" s="73"/>
      <c r="S13" s="73"/>
      <c r="T13" s="73"/>
      <c r="U13" s="67"/>
    </row>
    <row r="14" spans="1:21">
      <c r="A14" s="93">
        <v>1</v>
      </c>
      <c r="B14" s="93">
        <v>1</v>
      </c>
      <c r="C14" s="93">
        <v>1</v>
      </c>
      <c r="D14" s="34">
        <v>77700</v>
      </c>
      <c r="E14" s="37" t="s">
        <v>111</v>
      </c>
      <c r="F14" s="82">
        <f>SUM($F$13:$H$13)/3</f>
        <v>6804.145833333333</v>
      </c>
      <c r="G14" s="82">
        <f t="shared" ref="G14:H14" si="7">SUM($F$13:$H$13)/3</f>
        <v>6804.145833333333</v>
      </c>
      <c r="H14" s="82">
        <f t="shared" si="7"/>
        <v>6804.145833333333</v>
      </c>
      <c r="I14" s="70">
        <f t="shared" si="0"/>
        <v>20412.4375</v>
      </c>
      <c r="J14" s="58"/>
      <c r="K14" s="69"/>
      <c r="L14" s="69"/>
      <c r="M14" s="72"/>
      <c r="N14" s="72"/>
      <c r="O14" s="72"/>
      <c r="P14" s="73"/>
      <c r="Q14" s="74"/>
      <c r="R14" s="73"/>
      <c r="S14" s="73"/>
      <c r="T14" s="73"/>
      <c r="U14" s="67"/>
    </row>
    <row r="15" spans="1:21" s="95" customFormat="1">
      <c r="A15" s="109"/>
      <c r="B15" s="109"/>
      <c r="C15" s="109"/>
      <c r="D15" s="63"/>
      <c r="E15" s="51" t="s">
        <v>105</v>
      </c>
      <c r="F15" s="83">
        <f>F$3*F14</f>
        <v>2388.2551874999999</v>
      </c>
      <c r="G15" s="83">
        <f t="shared" ref="G15:H15" si="8">G$3*G14</f>
        <v>2388.2551874999999</v>
      </c>
      <c r="H15" s="83">
        <f t="shared" si="8"/>
        <v>2388.2551874999999</v>
      </c>
      <c r="I15" s="64">
        <f t="shared" si="0"/>
        <v>7164.7655624999998</v>
      </c>
      <c r="J15" s="127"/>
      <c r="K15" s="129"/>
      <c r="L15" s="129"/>
      <c r="M15" s="130"/>
      <c r="N15" s="130"/>
      <c r="O15" s="130"/>
      <c r="P15" s="131"/>
      <c r="Q15" s="132"/>
      <c r="R15" s="96"/>
      <c r="S15" s="96"/>
      <c r="T15" s="96"/>
      <c r="U15" s="94"/>
    </row>
    <row r="16" spans="1:21">
      <c r="A16" s="90">
        <v>12</v>
      </c>
      <c r="B16" s="90">
        <v>12</v>
      </c>
      <c r="C16" s="90">
        <v>0</v>
      </c>
      <c r="D16" s="34">
        <v>41000</v>
      </c>
      <c r="E16" s="54" t="s">
        <v>113</v>
      </c>
      <c r="F16" s="82">
        <f>(D16/12)*A16</f>
        <v>41000</v>
      </c>
      <c r="G16" s="82">
        <f>((D16)*((1+0.05)^1)/12)*B16</f>
        <v>43050</v>
      </c>
      <c r="H16" s="82">
        <v>0</v>
      </c>
      <c r="I16" s="70">
        <f t="shared" si="0"/>
        <v>84050</v>
      </c>
      <c r="J16" s="58"/>
      <c r="K16" s="69"/>
      <c r="L16" s="69"/>
      <c r="M16" s="66"/>
      <c r="N16" s="66"/>
      <c r="O16" s="66"/>
      <c r="P16" s="66"/>
      <c r="Q16" s="66"/>
      <c r="R16" s="67"/>
      <c r="S16" s="67"/>
      <c r="T16" s="67"/>
      <c r="U16" s="67"/>
    </row>
    <row r="17" spans="1:690">
      <c r="A17" s="93">
        <v>12</v>
      </c>
      <c r="B17" s="93">
        <v>12</v>
      </c>
      <c r="C17" s="93">
        <v>0</v>
      </c>
      <c r="D17" s="34">
        <v>41000</v>
      </c>
      <c r="E17" s="54" t="s">
        <v>113</v>
      </c>
      <c r="F17" s="82">
        <f>SUM($F$16+$G$16)/2</f>
        <v>42025</v>
      </c>
      <c r="G17" s="82">
        <f>SUM($F$16+$G$16)/2</f>
        <v>42025</v>
      </c>
      <c r="H17" s="82">
        <v>0</v>
      </c>
      <c r="I17" s="70">
        <f t="shared" si="0"/>
        <v>84050</v>
      </c>
      <c r="J17" s="58"/>
      <c r="K17" s="69"/>
      <c r="L17" s="69"/>
      <c r="M17" s="66"/>
      <c r="N17" s="66"/>
      <c r="O17" s="66"/>
      <c r="P17" s="66"/>
      <c r="Q17" s="66"/>
      <c r="R17" s="67"/>
      <c r="S17" s="67"/>
      <c r="T17" s="67"/>
      <c r="U17" s="67"/>
    </row>
    <row r="18" spans="1:690" s="95" customFormat="1">
      <c r="A18" s="109"/>
      <c r="B18" s="109"/>
      <c r="C18" s="109"/>
      <c r="D18" s="63"/>
      <c r="E18" s="51" t="s">
        <v>106</v>
      </c>
      <c r="F18" s="83">
        <f>F$3*F17</f>
        <v>14750.775</v>
      </c>
      <c r="G18" s="83">
        <f>G$3*G17</f>
        <v>14750.775</v>
      </c>
      <c r="H18" s="83">
        <v>0</v>
      </c>
      <c r="I18" s="64">
        <f t="shared" si="0"/>
        <v>29501.55</v>
      </c>
      <c r="J18" s="127"/>
      <c r="K18" s="128"/>
      <c r="L18" s="129"/>
      <c r="M18" s="128"/>
    </row>
    <row r="19" spans="1:690">
      <c r="E19" s="37" t="s">
        <v>66</v>
      </c>
      <c r="F19" s="70">
        <f>SUM(F18+F15+F12+F9+R15+F6)</f>
        <v>30424.734234374995</v>
      </c>
      <c r="G19" s="70">
        <f t="shared" ref="G19:H19" si="9">SUM(G18+G15+G12+G9+S15+G6)</f>
        <v>30424.734234374995</v>
      </c>
      <c r="H19" s="70">
        <f t="shared" si="9"/>
        <v>15673.959234374997</v>
      </c>
      <c r="I19" s="70">
        <f t="shared" si="0"/>
        <v>76523.427703124995</v>
      </c>
      <c r="J19" s="58"/>
      <c r="K19" s="66"/>
      <c r="L19" s="69"/>
      <c r="M19" s="66"/>
    </row>
    <row r="20" spans="1:690">
      <c r="E20" s="48" t="s">
        <v>70</v>
      </c>
      <c r="F20" s="64">
        <f>SUM(F5+F8+F11+F14+F17)</f>
        <v>86680.154513888891</v>
      </c>
      <c r="G20" s="64">
        <f t="shared" ref="G20:H20" si="10">SUM(G5+G8+G11+G14+G17)</f>
        <v>86680.154513888891</v>
      </c>
      <c r="H20" s="64">
        <f t="shared" si="10"/>
        <v>44655.154513888891</v>
      </c>
      <c r="I20" s="64">
        <f t="shared" si="0"/>
        <v>218015.46354166669</v>
      </c>
      <c r="J20" s="58"/>
    </row>
    <row r="21" spans="1:690" s="55" customFormat="1">
      <c r="A21" s="35"/>
      <c r="B21" s="35"/>
      <c r="C21" s="35"/>
      <c r="D21" s="39"/>
      <c r="E21" s="60" t="s">
        <v>69</v>
      </c>
      <c r="F21" s="70">
        <f>SUM(F19:F20)</f>
        <v>117104.88874826388</v>
      </c>
      <c r="G21" s="70">
        <f t="shared" ref="G21:H21" si="11">SUM(G19:G20)</f>
        <v>117104.88874826388</v>
      </c>
      <c r="H21" s="70">
        <f t="shared" si="11"/>
        <v>60329.113748263888</v>
      </c>
      <c r="I21" s="70">
        <f t="shared" si="0"/>
        <v>294538.89124479168</v>
      </c>
      <c r="J21" s="58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  <c r="FN21" s="35"/>
      <c r="FO21" s="35"/>
      <c r="FP21" s="35"/>
      <c r="FQ21" s="35"/>
      <c r="FR21" s="35"/>
      <c r="FS21" s="35"/>
      <c r="FT21" s="35"/>
      <c r="FU21" s="35"/>
      <c r="FV21" s="35"/>
      <c r="FW21" s="35"/>
      <c r="FX21" s="35"/>
      <c r="FY21" s="35"/>
      <c r="FZ21" s="35"/>
      <c r="GA21" s="35"/>
      <c r="GB21" s="35"/>
      <c r="GC21" s="35"/>
      <c r="GD21" s="35"/>
      <c r="GE21" s="35"/>
      <c r="GF21" s="35"/>
      <c r="GG21" s="35"/>
      <c r="GH21" s="35"/>
      <c r="GI21" s="35"/>
      <c r="GJ21" s="35"/>
      <c r="GK21" s="35"/>
      <c r="GL21" s="35"/>
      <c r="GM21" s="35"/>
      <c r="GN21" s="35"/>
      <c r="GO21" s="35"/>
      <c r="GP21" s="35"/>
      <c r="GQ21" s="35"/>
      <c r="GR21" s="35"/>
      <c r="GS21" s="35"/>
      <c r="GT21" s="35"/>
      <c r="GU21" s="35"/>
      <c r="GV21" s="35"/>
      <c r="GW21" s="35"/>
      <c r="GX21" s="35"/>
      <c r="GY21" s="35"/>
      <c r="GZ21" s="35"/>
      <c r="HA21" s="35"/>
      <c r="HB21" s="35"/>
      <c r="HC21" s="35"/>
      <c r="HD21" s="35"/>
      <c r="HE21" s="35"/>
      <c r="HF21" s="35"/>
      <c r="HG21" s="35"/>
      <c r="HH21" s="35"/>
      <c r="HI21" s="35"/>
      <c r="HJ21" s="35"/>
      <c r="HK21" s="35"/>
      <c r="HL21" s="35"/>
      <c r="HM21" s="35"/>
      <c r="HN21" s="35"/>
      <c r="HO21" s="35"/>
      <c r="HP21" s="35"/>
      <c r="HQ21" s="35"/>
      <c r="HR21" s="35"/>
      <c r="HS21" s="35"/>
      <c r="HT21" s="35"/>
      <c r="HU21" s="35"/>
      <c r="HV21" s="35"/>
      <c r="HW21" s="35"/>
      <c r="HX21" s="35"/>
      <c r="HY21" s="35"/>
      <c r="HZ21" s="35"/>
      <c r="IA21" s="35"/>
      <c r="IB21" s="35"/>
      <c r="IC21" s="35"/>
      <c r="ID21" s="35"/>
      <c r="IE21" s="35"/>
      <c r="IF21" s="35"/>
      <c r="IG21" s="35"/>
      <c r="IH21" s="35"/>
      <c r="II21" s="35"/>
      <c r="IJ21" s="35"/>
      <c r="IK21" s="35"/>
      <c r="IL21" s="35"/>
      <c r="IM21" s="35"/>
      <c r="IN21" s="35"/>
      <c r="IO21" s="35"/>
      <c r="IP21" s="35"/>
      <c r="IQ21" s="35"/>
      <c r="IR21" s="35"/>
      <c r="IS21" s="35"/>
      <c r="IT21" s="35"/>
      <c r="IU21" s="35"/>
      <c r="IV21" s="35"/>
      <c r="IW21" s="35"/>
      <c r="IX21" s="35"/>
      <c r="IY21" s="35"/>
      <c r="IZ21" s="35"/>
      <c r="JA21" s="35"/>
      <c r="JB21" s="35"/>
      <c r="JC21" s="35"/>
      <c r="JD21" s="35"/>
      <c r="JE21" s="35"/>
      <c r="JF21" s="35"/>
      <c r="JG21" s="35"/>
      <c r="JH21" s="35"/>
      <c r="JI21" s="35"/>
      <c r="JJ21" s="35"/>
      <c r="JK21" s="35"/>
      <c r="JL21" s="35"/>
      <c r="JM21" s="35"/>
      <c r="JN21" s="35"/>
      <c r="JO21" s="35"/>
      <c r="JP21" s="35"/>
      <c r="JQ21" s="35"/>
      <c r="JR21" s="35"/>
      <c r="JS21" s="35"/>
      <c r="JT21" s="35"/>
      <c r="JU21" s="35"/>
      <c r="JV21" s="35"/>
      <c r="JW21" s="35"/>
      <c r="JX21" s="35"/>
      <c r="JY21" s="35"/>
      <c r="JZ21" s="35"/>
      <c r="KA21" s="35"/>
      <c r="KB21" s="35"/>
      <c r="KC21" s="35"/>
      <c r="KD21" s="35"/>
      <c r="KE21" s="35"/>
      <c r="KF21" s="35"/>
      <c r="KG21" s="35"/>
      <c r="KH21" s="35"/>
      <c r="KI21" s="35"/>
      <c r="KJ21" s="35"/>
      <c r="KK21" s="35"/>
      <c r="KL21" s="35"/>
      <c r="KM21" s="35"/>
      <c r="KN21" s="35"/>
      <c r="KO21" s="35"/>
      <c r="KP21" s="35"/>
      <c r="KQ21" s="35"/>
      <c r="KR21" s="35"/>
      <c r="KS21" s="35"/>
      <c r="KT21" s="35"/>
      <c r="KU21" s="35"/>
      <c r="KV21" s="35"/>
      <c r="KW21" s="35"/>
      <c r="KX21" s="35"/>
      <c r="KY21" s="35"/>
      <c r="KZ21" s="35"/>
      <c r="LA21" s="35"/>
      <c r="LB21" s="35"/>
      <c r="LC21" s="35"/>
      <c r="LD21" s="35"/>
      <c r="LE21" s="35"/>
      <c r="LF21" s="35"/>
      <c r="LG21" s="35"/>
      <c r="LH21" s="35"/>
      <c r="LI21" s="35"/>
      <c r="LJ21" s="35"/>
      <c r="LK21" s="35"/>
      <c r="LL21" s="35"/>
      <c r="LM21" s="35"/>
      <c r="LN21" s="35"/>
      <c r="LO21" s="35"/>
      <c r="LP21" s="35"/>
      <c r="LQ21" s="35"/>
      <c r="LR21" s="35"/>
      <c r="LS21" s="35"/>
      <c r="LT21" s="35"/>
      <c r="LU21" s="35"/>
      <c r="LV21" s="35"/>
      <c r="LW21" s="35"/>
      <c r="LX21" s="35"/>
      <c r="LY21" s="35"/>
      <c r="LZ21" s="35"/>
      <c r="MA21" s="35"/>
      <c r="MB21" s="35"/>
      <c r="MC21" s="35"/>
      <c r="MD21" s="35"/>
      <c r="ME21" s="35"/>
      <c r="MF21" s="35"/>
      <c r="MG21" s="35"/>
      <c r="MH21" s="35"/>
      <c r="MI21" s="35"/>
      <c r="MJ21" s="35"/>
      <c r="MK21" s="35"/>
      <c r="ML21" s="35"/>
      <c r="MM21" s="35"/>
      <c r="MN21" s="35"/>
      <c r="MO21" s="35"/>
      <c r="MP21" s="35"/>
      <c r="MQ21" s="35"/>
      <c r="MR21" s="35"/>
      <c r="MS21" s="35"/>
      <c r="MT21" s="35"/>
      <c r="MU21" s="35"/>
      <c r="MV21" s="35"/>
      <c r="MW21" s="35"/>
      <c r="MX21" s="35"/>
      <c r="MY21" s="35"/>
      <c r="MZ21" s="35"/>
      <c r="NA21" s="35"/>
      <c r="NB21" s="35"/>
      <c r="NC21" s="35"/>
      <c r="ND21" s="35"/>
      <c r="NE21" s="35"/>
      <c r="NF21" s="35"/>
      <c r="NG21" s="35"/>
      <c r="NH21" s="35"/>
      <c r="NI21" s="35"/>
      <c r="NJ21" s="35"/>
      <c r="NK21" s="35"/>
      <c r="NL21" s="35"/>
      <c r="NM21" s="35"/>
      <c r="NN21" s="35"/>
      <c r="NO21" s="35"/>
      <c r="NP21" s="35"/>
      <c r="NQ21" s="35"/>
      <c r="NR21" s="35"/>
      <c r="NS21" s="35"/>
      <c r="NT21" s="35"/>
      <c r="NU21" s="35"/>
      <c r="NV21" s="35"/>
      <c r="NW21" s="35"/>
      <c r="NX21" s="35"/>
      <c r="NY21" s="35"/>
      <c r="NZ21" s="35"/>
      <c r="OA21" s="35"/>
      <c r="OB21" s="35"/>
      <c r="OC21" s="35"/>
      <c r="OD21" s="35"/>
      <c r="OE21" s="35"/>
      <c r="OF21" s="35"/>
      <c r="OG21" s="35"/>
      <c r="OH21" s="35"/>
      <c r="OI21" s="35"/>
      <c r="OJ21" s="35"/>
      <c r="OK21" s="35"/>
      <c r="OL21" s="35"/>
      <c r="OM21" s="35"/>
      <c r="ON21" s="35"/>
      <c r="OO21" s="35"/>
      <c r="OP21" s="35"/>
      <c r="OQ21" s="35"/>
      <c r="OR21" s="35"/>
      <c r="OS21" s="35"/>
      <c r="OT21" s="35"/>
      <c r="OU21" s="35"/>
      <c r="OV21" s="35"/>
      <c r="OW21" s="35"/>
      <c r="OX21" s="35"/>
      <c r="OY21" s="35"/>
      <c r="OZ21" s="35"/>
      <c r="PA21" s="35"/>
      <c r="PB21" s="35"/>
      <c r="PC21" s="35"/>
      <c r="PD21" s="35"/>
      <c r="PE21" s="35"/>
      <c r="PF21" s="35"/>
      <c r="PG21" s="35"/>
      <c r="PH21" s="35"/>
      <c r="PI21" s="35"/>
      <c r="PJ21" s="35"/>
      <c r="PK21" s="35"/>
      <c r="PL21" s="35"/>
      <c r="PM21" s="35"/>
      <c r="PN21" s="35"/>
      <c r="PO21" s="35"/>
      <c r="PP21" s="35"/>
      <c r="PQ21" s="35"/>
      <c r="PR21" s="35"/>
      <c r="PS21" s="35"/>
      <c r="PT21" s="35"/>
      <c r="PU21" s="35"/>
      <c r="PV21" s="35"/>
      <c r="PW21" s="35"/>
      <c r="PX21" s="35"/>
      <c r="PY21" s="35"/>
      <c r="PZ21" s="35"/>
      <c r="QA21" s="35"/>
      <c r="QB21" s="35"/>
      <c r="QC21" s="35"/>
      <c r="QD21" s="35"/>
      <c r="QE21" s="35"/>
      <c r="QF21" s="35"/>
      <c r="QG21" s="35"/>
      <c r="QH21" s="35"/>
      <c r="QI21" s="35"/>
      <c r="QJ21" s="35"/>
      <c r="QK21" s="35"/>
      <c r="QL21" s="35"/>
      <c r="QM21" s="35"/>
      <c r="QN21" s="35"/>
      <c r="QO21" s="35"/>
      <c r="QP21" s="35"/>
      <c r="QQ21" s="35"/>
      <c r="QR21" s="35"/>
      <c r="QS21" s="35"/>
      <c r="QT21" s="35"/>
      <c r="QU21" s="35"/>
      <c r="QV21" s="35"/>
      <c r="QW21" s="35"/>
      <c r="QX21" s="35"/>
      <c r="QY21" s="35"/>
      <c r="QZ21" s="35"/>
      <c r="RA21" s="35"/>
      <c r="RB21" s="35"/>
      <c r="RC21" s="35"/>
      <c r="RD21" s="35"/>
      <c r="RE21" s="35"/>
      <c r="RF21" s="35"/>
      <c r="RG21" s="35"/>
      <c r="RH21" s="35"/>
      <c r="RI21" s="35"/>
      <c r="RJ21" s="35"/>
      <c r="RK21" s="35"/>
      <c r="RL21" s="35"/>
      <c r="RM21" s="35"/>
      <c r="RN21" s="35"/>
      <c r="RO21" s="35"/>
      <c r="RP21" s="35"/>
      <c r="RQ21" s="35"/>
      <c r="RR21" s="35"/>
      <c r="RS21" s="35"/>
      <c r="RT21" s="35"/>
      <c r="RU21" s="35"/>
      <c r="RV21" s="35"/>
      <c r="RW21" s="35"/>
      <c r="RX21" s="35"/>
      <c r="RY21" s="35"/>
      <c r="RZ21" s="35"/>
      <c r="SA21" s="35"/>
      <c r="SB21" s="35"/>
      <c r="SC21" s="35"/>
      <c r="SD21" s="35"/>
      <c r="SE21" s="35"/>
      <c r="SF21" s="35"/>
      <c r="SG21" s="35"/>
      <c r="SH21" s="35"/>
      <c r="SI21" s="35"/>
      <c r="SJ21" s="35"/>
      <c r="SK21" s="35"/>
      <c r="SL21" s="35"/>
      <c r="SM21" s="35"/>
      <c r="SN21" s="35"/>
      <c r="SO21" s="35"/>
      <c r="SP21" s="35"/>
      <c r="SQ21" s="35"/>
      <c r="SR21" s="35"/>
      <c r="SS21" s="35"/>
      <c r="ST21" s="35"/>
      <c r="SU21" s="35"/>
      <c r="SV21" s="35"/>
      <c r="SW21" s="35"/>
      <c r="SX21" s="35"/>
      <c r="SY21" s="35"/>
      <c r="SZ21" s="35"/>
      <c r="TA21" s="35"/>
      <c r="TB21" s="35"/>
      <c r="TC21" s="35"/>
      <c r="TD21" s="35"/>
      <c r="TE21" s="35"/>
      <c r="TF21" s="35"/>
      <c r="TG21" s="35"/>
      <c r="TH21" s="35"/>
      <c r="TI21" s="35"/>
      <c r="TJ21" s="35"/>
      <c r="TK21" s="35"/>
      <c r="TL21" s="35"/>
      <c r="TM21" s="35"/>
      <c r="TN21" s="35"/>
      <c r="TO21" s="35"/>
      <c r="TP21" s="35"/>
      <c r="TQ21" s="35"/>
      <c r="TR21" s="35"/>
      <c r="TS21" s="35"/>
      <c r="TT21" s="35"/>
      <c r="TU21" s="35"/>
      <c r="TV21" s="35"/>
      <c r="TW21" s="35"/>
      <c r="TX21" s="35"/>
      <c r="TY21" s="35"/>
      <c r="TZ21" s="35"/>
      <c r="UA21" s="35"/>
      <c r="UB21" s="35"/>
      <c r="UC21" s="35"/>
      <c r="UD21" s="35"/>
      <c r="UE21" s="35"/>
      <c r="UF21" s="35"/>
      <c r="UG21" s="35"/>
      <c r="UH21" s="35"/>
      <c r="UI21" s="35"/>
      <c r="UJ21" s="35"/>
      <c r="UK21" s="35"/>
      <c r="UL21" s="35"/>
      <c r="UM21" s="35"/>
      <c r="UN21" s="35"/>
      <c r="UO21" s="35"/>
      <c r="UP21" s="35"/>
      <c r="UQ21" s="35"/>
      <c r="UR21" s="35"/>
      <c r="US21" s="35"/>
      <c r="UT21" s="35"/>
      <c r="UU21" s="35"/>
      <c r="UV21" s="35"/>
      <c r="UW21" s="35"/>
      <c r="UX21" s="35"/>
      <c r="UY21" s="35"/>
      <c r="UZ21" s="35"/>
      <c r="VA21" s="35"/>
      <c r="VB21" s="35"/>
      <c r="VC21" s="35"/>
      <c r="VD21" s="35"/>
      <c r="VE21" s="35"/>
      <c r="VF21" s="35"/>
      <c r="VG21" s="35"/>
      <c r="VH21" s="35"/>
      <c r="VI21" s="35"/>
      <c r="VJ21" s="35"/>
      <c r="VK21" s="35"/>
      <c r="VL21" s="35"/>
      <c r="VM21" s="35"/>
      <c r="VN21" s="35"/>
      <c r="VO21" s="35"/>
      <c r="VP21" s="35"/>
      <c r="VQ21" s="35"/>
      <c r="VR21" s="35"/>
      <c r="VS21" s="35"/>
      <c r="VT21" s="35"/>
      <c r="VU21" s="35"/>
      <c r="VV21" s="35"/>
      <c r="VW21" s="35"/>
      <c r="VX21" s="35"/>
      <c r="VY21" s="35"/>
      <c r="VZ21" s="35"/>
      <c r="WA21" s="35"/>
      <c r="WB21" s="35"/>
      <c r="WC21" s="35"/>
      <c r="WD21" s="35"/>
      <c r="WE21" s="35"/>
      <c r="WF21" s="35"/>
      <c r="WG21" s="35"/>
      <c r="WH21" s="35"/>
      <c r="WI21" s="35"/>
      <c r="WJ21" s="35"/>
      <c r="WK21" s="35"/>
      <c r="WL21" s="35"/>
      <c r="WM21" s="35"/>
      <c r="WN21" s="35"/>
      <c r="WO21" s="35"/>
      <c r="WP21" s="35"/>
      <c r="WQ21" s="35"/>
      <c r="WR21" s="35"/>
      <c r="WS21" s="35"/>
      <c r="WT21" s="35"/>
      <c r="WU21" s="35"/>
      <c r="WV21" s="35"/>
      <c r="WW21" s="35"/>
      <c r="WX21" s="35"/>
      <c r="WY21" s="35"/>
      <c r="WZ21" s="35"/>
      <c r="XA21" s="35"/>
      <c r="XB21" s="35"/>
      <c r="XC21" s="35"/>
      <c r="XD21" s="35"/>
      <c r="XE21" s="35"/>
      <c r="XF21" s="35"/>
      <c r="XG21" s="35"/>
      <c r="XH21" s="35"/>
      <c r="XI21" s="35"/>
      <c r="XJ21" s="35"/>
      <c r="XK21" s="35"/>
      <c r="XL21" s="35"/>
      <c r="XM21" s="35"/>
      <c r="XN21" s="35"/>
      <c r="XO21" s="35"/>
      <c r="XP21" s="35"/>
      <c r="XQ21" s="35"/>
      <c r="XR21" s="35"/>
      <c r="XS21" s="35"/>
      <c r="XT21" s="35"/>
      <c r="XU21" s="35"/>
      <c r="XV21" s="35"/>
      <c r="XW21" s="35"/>
      <c r="XX21" s="35"/>
      <c r="XY21" s="35"/>
      <c r="XZ21" s="35"/>
      <c r="YA21" s="35"/>
      <c r="YB21" s="35"/>
      <c r="YC21" s="35"/>
      <c r="YD21" s="35"/>
      <c r="YE21" s="35"/>
      <c r="YF21" s="35"/>
      <c r="YG21" s="35"/>
      <c r="YH21" s="35"/>
      <c r="YI21" s="35"/>
      <c r="YJ21" s="35"/>
      <c r="YK21" s="35"/>
      <c r="YL21" s="35"/>
      <c r="YM21" s="35"/>
      <c r="YN21" s="35"/>
      <c r="YO21" s="35"/>
      <c r="YP21" s="35"/>
      <c r="YQ21" s="35"/>
      <c r="YR21" s="35"/>
      <c r="YS21" s="35"/>
      <c r="YT21" s="35"/>
      <c r="YU21" s="35"/>
      <c r="YV21" s="35"/>
      <c r="YW21" s="35"/>
      <c r="YX21" s="35"/>
      <c r="YY21" s="35"/>
      <c r="YZ21" s="35"/>
      <c r="ZA21" s="35"/>
      <c r="ZB21" s="35"/>
      <c r="ZC21" s="35"/>
      <c r="ZD21" s="35"/>
      <c r="ZE21" s="35"/>
      <c r="ZF21" s="35"/>
      <c r="ZG21" s="35"/>
      <c r="ZH21" s="35"/>
      <c r="ZI21" s="35"/>
      <c r="ZJ21" s="35"/>
      <c r="ZK21" s="35"/>
      <c r="ZL21" s="35"/>
      <c r="ZM21" s="35"/>
      <c r="ZN21" s="35"/>
    </row>
    <row r="22" spans="1:690">
      <c r="E22" s="108" t="s">
        <v>73</v>
      </c>
      <c r="F22" s="64"/>
      <c r="G22" s="64"/>
      <c r="H22" s="64"/>
      <c r="I22" s="64"/>
      <c r="J22" s="58"/>
    </row>
    <row r="23" spans="1:690">
      <c r="E23" s="37" t="s">
        <v>74</v>
      </c>
      <c r="F23" s="70">
        <v>2000</v>
      </c>
      <c r="G23" s="70">
        <v>2000</v>
      </c>
      <c r="H23" s="70">
        <v>4000</v>
      </c>
      <c r="I23" s="70">
        <f>SUM(F23:H23)</f>
        <v>8000</v>
      </c>
      <c r="J23" s="58"/>
    </row>
    <row r="24" spans="1:690">
      <c r="E24" s="48" t="s">
        <v>71</v>
      </c>
      <c r="F24" s="83">
        <f>'EHA travel'!H23</f>
        <v>9826</v>
      </c>
      <c r="G24" s="83">
        <f>'EHA travel'!I23</f>
        <v>8224</v>
      </c>
      <c r="H24" s="83">
        <f>'EHA travel'!J23</f>
        <v>8559.3333333333321</v>
      </c>
      <c r="I24" s="64">
        <f>SUM(F24:H24)</f>
        <v>26609.333333333332</v>
      </c>
    </row>
    <row r="25" spans="1:690">
      <c r="E25" s="36" t="s">
        <v>72</v>
      </c>
      <c r="F25" s="84">
        <f>SUM(F23:F24)</f>
        <v>11826</v>
      </c>
      <c r="G25" s="84">
        <f t="shared" ref="G25:H25" si="12">SUM(G23:G24)</f>
        <v>10224</v>
      </c>
      <c r="H25" s="84">
        <f t="shared" si="12"/>
        <v>12559.333333333332</v>
      </c>
      <c r="I25" s="70">
        <f>SUM(F25:H25)</f>
        <v>34609.333333333328</v>
      </c>
    </row>
    <row r="26" spans="1:690" s="55" customFormat="1">
      <c r="A26" s="35"/>
      <c r="B26" s="35"/>
      <c r="C26" s="35"/>
      <c r="D26" s="39"/>
      <c r="E26" s="108" t="s">
        <v>180</v>
      </c>
      <c r="F26" s="64">
        <f>'Participant support'!G8</f>
        <v>15642</v>
      </c>
      <c r="G26" s="64">
        <f>'Participant support'!H8</f>
        <v>17372</v>
      </c>
      <c r="H26" s="64">
        <f>'Participant support'!I8</f>
        <v>8354</v>
      </c>
      <c r="I26" s="64">
        <f>SUM(F26:H26)</f>
        <v>41368</v>
      </c>
      <c r="J26" s="71"/>
      <c r="K26" s="71"/>
      <c r="L26" s="39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  <c r="HT26" s="35"/>
      <c r="HU26" s="35"/>
      <c r="HV26" s="35"/>
      <c r="HW26" s="35"/>
      <c r="HX26" s="35"/>
      <c r="HY26" s="35"/>
      <c r="HZ26" s="35"/>
      <c r="IA26" s="35"/>
      <c r="IB26" s="35"/>
      <c r="IC26" s="35"/>
      <c r="ID26" s="35"/>
      <c r="IE26" s="35"/>
      <c r="IF26" s="35"/>
      <c r="IG26" s="35"/>
      <c r="IH26" s="35"/>
      <c r="II26" s="35"/>
      <c r="IJ26" s="35"/>
      <c r="IK26" s="35"/>
      <c r="IL26" s="35"/>
      <c r="IM26" s="35"/>
      <c r="IN26" s="35"/>
      <c r="IO26" s="35"/>
      <c r="IP26" s="35"/>
      <c r="IQ26" s="35"/>
      <c r="IR26" s="35"/>
      <c r="IS26" s="35"/>
      <c r="IT26" s="35"/>
      <c r="IU26" s="35"/>
      <c r="IV26" s="35"/>
      <c r="IW26" s="35"/>
      <c r="IX26" s="35"/>
      <c r="IY26" s="35"/>
      <c r="IZ26" s="35"/>
      <c r="JA26" s="35"/>
      <c r="JB26" s="35"/>
      <c r="JC26" s="35"/>
      <c r="JD26" s="35"/>
      <c r="JE26" s="35"/>
      <c r="JF26" s="35"/>
      <c r="JG26" s="35"/>
      <c r="JH26" s="35"/>
      <c r="JI26" s="35"/>
      <c r="JJ26" s="35"/>
      <c r="JK26" s="35"/>
      <c r="JL26" s="35"/>
      <c r="JM26" s="35"/>
      <c r="JN26" s="35"/>
      <c r="JO26" s="35"/>
      <c r="JP26" s="35"/>
      <c r="JQ26" s="35"/>
      <c r="JR26" s="35"/>
      <c r="JS26" s="35"/>
      <c r="JT26" s="35"/>
      <c r="JU26" s="35"/>
      <c r="JV26" s="35"/>
      <c r="JW26" s="35"/>
      <c r="JX26" s="35"/>
      <c r="JY26" s="35"/>
      <c r="JZ26" s="35"/>
      <c r="KA26" s="35"/>
      <c r="KB26" s="35"/>
      <c r="KC26" s="35"/>
      <c r="KD26" s="35"/>
      <c r="KE26" s="35"/>
      <c r="KF26" s="35"/>
      <c r="KG26" s="35"/>
      <c r="KH26" s="35"/>
      <c r="KI26" s="35"/>
      <c r="KJ26" s="35"/>
      <c r="KK26" s="35"/>
      <c r="KL26" s="35"/>
      <c r="KM26" s="35"/>
      <c r="KN26" s="35"/>
      <c r="KO26" s="35"/>
      <c r="KP26" s="35"/>
      <c r="KQ26" s="35"/>
      <c r="KR26" s="35"/>
      <c r="KS26" s="35"/>
      <c r="KT26" s="35"/>
      <c r="KU26" s="35"/>
      <c r="KV26" s="35"/>
      <c r="KW26" s="35"/>
      <c r="KX26" s="35"/>
      <c r="KY26" s="35"/>
      <c r="KZ26" s="35"/>
      <c r="LA26" s="35"/>
      <c r="LB26" s="35"/>
      <c r="LC26" s="35"/>
      <c r="LD26" s="35"/>
      <c r="LE26" s="35"/>
      <c r="LF26" s="35"/>
      <c r="LG26" s="35"/>
      <c r="LH26" s="35"/>
      <c r="LI26" s="35"/>
      <c r="LJ26" s="35"/>
      <c r="LK26" s="35"/>
      <c r="LL26" s="35"/>
      <c r="LM26" s="35"/>
      <c r="LN26" s="35"/>
      <c r="LO26" s="35"/>
      <c r="LP26" s="35"/>
      <c r="LQ26" s="35"/>
      <c r="LR26" s="35"/>
      <c r="LS26" s="35"/>
      <c r="LT26" s="35"/>
      <c r="LU26" s="35"/>
      <c r="LV26" s="35"/>
      <c r="LW26" s="35"/>
      <c r="LX26" s="35"/>
      <c r="LY26" s="35"/>
      <c r="LZ26" s="35"/>
      <c r="MA26" s="35"/>
      <c r="MB26" s="35"/>
      <c r="MC26" s="35"/>
      <c r="MD26" s="35"/>
      <c r="ME26" s="35"/>
      <c r="MF26" s="35"/>
      <c r="MG26" s="35"/>
      <c r="MH26" s="35"/>
      <c r="MI26" s="35"/>
      <c r="MJ26" s="35"/>
      <c r="MK26" s="35"/>
      <c r="ML26" s="35"/>
      <c r="MM26" s="35"/>
      <c r="MN26" s="35"/>
      <c r="MO26" s="35"/>
      <c r="MP26" s="35"/>
      <c r="MQ26" s="35"/>
      <c r="MR26" s="35"/>
      <c r="MS26" s="35"/>
      <c r="MT26" s="35"/>
      <c r="MU26" s="35"/>
      <c r="MV26" s="35"/>
      <c r="MW26" s="35"/>
      <c r="MX26" s="35"/>
      <c r="MY26" s="35"/>
      <c r="MZ26" s="35"/>
      <c r="NA26" s="35"/>
      <c r="NB26" s="35"/>
      <c r="NC26" s="35"/>
      <c r="ND26" s="35"/>
      <c r="NE26" s="35"/>
      <c r="NF26" s="35"/>
      <c r="NG26" s="35"/>
      <c r="NH26" s="35"/>
      <c r="NI26" s="35"/>
      <c r="NJ26" s="35"/>
      <c r="NK26" s="35"/>
      <c r="NL26" s="35"/>
      <c r="NM26" s="35"/>
      <c r="NN26" s="35"/>
      <c r="NO26" s="35"/>
      <c r="NP26" s="35"/>
      <c r="NQ26" s="35"/>
      <c r="NR26" s="35"/>
      <c r="NS26" s="35"/>
      <c r="NT26" s="35"/>
      <c r="NU26" s="35"/>
      <c r="NV26" s="35"/>
      <c r="NW26" s="35"/>
      <c r="NX26" s="35"/>
      <c r="NY26" s="35"/>
      <c r="NZ26" s="35"/>
      <c r="OA26" s="35"/>
      <c r="OB26" s="35"/>
      <c r="OC26" s="35"/>
      <c r="OD26" s="35"/>
      <c r="OE26" s="35"/>
      <c r="OF26" s="35"/>
      <c r="OG26" s="35"/>
      <c r="OH26" s="35"/>
      <c r="OI26" s="35"/>
      <c r="OJ26" s="35"/>
      <c r="OK26" s="35"/>
      <c r="OL26" s="35"/>
      <c r="OM26" s="35"/>
      <c r="ON26" s="35"/>
      <c r="OO26" s="35"/>
      <c r="OP26" s="35"/>
      <c r="OQ26" s="35"/>
      <c r="OR26" s="35"/>
      <c r="OS26" s="35"/>
      <c r="OT26" s="35"/>
      <c r="OU26" s="35"/>
      <c r="OV26" s="35"/>
      <c r="OW26" s="35"/>
      <c r="OX26" s="35"/>
      <c r="OY26" s="35"/>
      <c r="OZ26" s="35"/>
      <c r="PA26" s="35"/>
      <c r="PB26" s="35"/>
      <c r="PC26" s="35"/>
      <c r="PD26" s="35"/>
      <c r="PE26" s="35"/>
      <c r="PF26" s="35"/>
      <c r="PG26" s="35"/>
      <c r="PH26" s="35"/>
      <c r="PI26" s="35"/>
      <c r="PJ26" s="35"/>
      <c r="PK26" s="35"/>
      <c r="PL26" s="35"/>
      <c r="PM26" s="35"/>
      <c r="PN26" s="35"/>
      <c r="PO26" s="35"/>
      <c r="PP26" s="35"/>
      <c r="PQ26" s="35"/>
      <c r="PR26" s="35"/>
      <c r="PS26" s="35"/>
      <c r="PT26" s="35"/>
      <c r="PU26" s="35"/>
      <c r="PV26" s="35"/>
      <c r="PW26" s="35"/>
      <c r="PX26" s="35"/>
      <c r="PY26" s="35"/>
      <c r="PZ26" s="35"/>
      <c r="QA26" s="35"/>
      <c r="QB26" s="35"/>
      <c r="QC26" s="35"/>
      <c r="QD26" s="35"/>
      <c r="QE26" s="35"/>
      <c r="QF26" s="35"/>
      <c r="QG26" s="35"/>
      <c r="QH26" s="35"/>
      <c r="QI26" s="35"/>
      <c r="QJ26" s="35"/>
      <c r="QK26" s="35"/>
      <c r="QL26" s="35"/>
      <c r="QM26" s="35"/>
      <c r="QN26" s="35"/>
      <c r="QO26" s="35"/>
      <c r="QP26" s="35"/>
      <c r="QQ26" s="35"/>
      <c r="QR26" s="35"/>
      <c r="QS26" s="35"/>
      <c r="QT26" s="35"/>
      <c r="QU26" s="35"/>
      <c r="QV26" s="35"/>
      <c r="QW26" s="35"/>
      <c r="QX26" s="35"/>
      <c r="QY26" s="35"/>
      <c r="QZ26" s="35"/>
      <c r="RA26" s="35"/>
      <c r="RB26" s="35"/>
      <c r="RC26" s="35"/>
      <c r="RD26" s="35"/>
      <c r="RE26" s="35"/>
      <c r="RF26" s="35"/>
      <c r="RG26" s="35"/>
      <c r="RH26" s="35"/>
      <c r="RI26" s="35"/>
      <c r="RJ26" s="35"/>
      <c r="RK26" s="35"/>
      <c r="RL26" s="35"/>
      <c r="RM26" s="35"/>
      <c r="RN26" s="35"/>
      <c r="RO26" s="35"/>
      <c r="RP26" s="35"/>
      <c r="RQ26" s="35"/>
      <c r="RR26" s="35"/>
      <c r="RS26" s="35"/>
      <c r="RT26" s="35"/>
      <c r="RU26" s="35"/>
      <c r="RV26" s="35"/>
      <c r="RW26" s="35"/>
      <c r="RX26" s="35"/>
      <c r="RY26" s="35"/>
      <c r="RZ26" s="35"/>
      <c r="SA26" s="35"/>
      <c r="SB26" s="35"/>
      <c r="SC26" s="35"/>
      <c r="SD26" s="35"/>
      <c r="SE26" s="35"/>
      <c r="SF26" s="35"/>
      <c r="SG26" s="35"/>
      <c r="SH26" s="35"/>
      <c r="SI26" s="35"/>
      <c r="SJ26" s="35"/>
      <c r="SK26" s="35"/>
      <c r="SL26" s="35"/>
      <c r="SM26" s="35"/>
      <c r="SN26" s="35"/>
      <c r="SO26" s="35"/>
      <c r="SP26" s="35"/>
      <c r="SQ26" s="35"/>
      <c r="SR26" s="35"/>
      <c r="SS26" s="35"/>
      <c r="ST26" s="35"/>
      <c r="SU26" s="35"/>
      <c r="SV26" s="35"/>
      <c r="SW26" s="35"/>
      <c r="SX26" s="35"/>
      <c r="SY26" s="35"/>
      <c r="SZ26" s="35"/>
      <c r="TA26" s="35"/>
      <c r="TB26" s="35"/>
      <c r="TC26" s="35"/>
      <c r="TD26" s="35"/>
      <c r="TE26" s="35"/>
      <c r="TF26" s="35"/>
      <c r="TG26" s="35"/>
      <c r="TH26" s="35"/>
      <c r="TI26" s="35"/>
      <c r="TJ26" s="35"/>
      <c r="TK26" s="35"/>
      <c r="TL26" s="35"/>
      <c r="TM26" s="35"/>
      <c r="TN26" s="35"/>
      <c r="TO26" s="35"/>
      <c r="TP26" s="35"/>
      <c r="TQ26" s="35"/>
      <c r="TR26" s="35"/>
      <c r="TS26" s="35"/>
      <c r="TT26" s="35"/>
      <c r="TU26" s="35"/>
      <c r="TV26" s="35"/>
      <c r="TW26" s="35"/>
      <c r="TX26" s="35"/>
      <c r="TY26" s="35"/>
      <c r="TZ26" s="35"/>
      <c r="UA26" s="35"/>
      <c r="UB26" s="35"/>
      <c r="UC26" s="35"/>
      <c r="UD26" s="35"/>
      <c r="UE26" s="35"/>
      <c r="UF26" s="35"/>
      <c r="UG26" s="35"/>
      <c r="UH26" s="35"/>
      <c r="UI26" s="35"/>
      <c r="UJ26" s="35"/>
      <c r="UK26" s="35"/>
      <c r="UL26" s="35"/>
      <c r="UM26" s="35"/>
      <c r="UN26" s="35"/>
      <c r="UO26" s="35"/>
      <c r="UP26" s="35"/>
      <c r="UQ26" s="35"/>
      <c r="UR26" s="35"/>
      <c r="US26" s="35"/>
      <c r="UT26" s="35"/>
      <c r="UU26" s="35"/>
      <c r="UV26" s="35"/>
      <c r="UW26" s="35"/>
      <c r="UX26" s="35"/>
      <c r="UY26" s="35"/>
      <c r="UZ26" s="35"/>
      <c r="VA26" s="35"/>
      <c r="VB26" s="35"/>
      <c r="VC26" s="35"/>
      <c r="VD26" s="35"/>
      <c r="VE26" s="35"/>
      <c r="VF26" s="35"/>
      <c r="VG26" s="35"/>
      <c r="VH26" s="35"/>
      <c r="VI26" s="35"/>
      <c r="VJ26" s="35"/>
      <c r="VK26" s="35"/>
      <c r="VL26" s="35"/>
      <c r="VM26" s="35"/>
      <c r="VN26" s="35"/>
      <c r="VO26" s="35"/>
      <c r="VP26" s="35"/>
      <c r="VQ26" s="35"/>
      <c r="VR26" s="35"/>
      <c r="VS26" s="35"/>
      <c r="VT26" s="35"/>
      <c r="VU26" s="35"/>
      <c r="VV26" s="35"/>
      <c r="VW26" s="35"/>
      <c r="VX26" s="35"/>
      <c r="VY26" s="35"/>
      <c r="VZ26" s="35"/>
      <c r="WA26" s="35"/>
      <c r="WB26" s="35"/>
      <c r="WC26" s="35"/>
      <c r="WD26" s="35"/>
      <c r="WE26" s="35"/>
      <c r="WF26" s="35"/>
      <c r="WG26" s="35"/>
      <c r="WH26" s="35"/>
      <c r="WI26" s="35"/>
      <c r="WJ26" s="35"/>
      <c r="WK26" s="35"/>
      <c r="WL26" s="35"/>
      <c r="WM26" s="35"/>
      <c r="WN26" s="35"/>
      <c r="WO26" s="35"/>
      <c r="WP26" s="35"/>
      <c r="WQ26" s="35"/>
      <c r="WR26" s="35"/>
      <c r="WS26" s="35"/>
      <c r="WT26" s="35"/>
      <c r="WU26" s="35"/>
      <c r="WV26" s="35"/>
      <c r="WW26" s="35"/>
      <c r="WX26" s="35"/>
      <c r="WY26" s="35"/>
      <c r="WZ26" s="35"/>
      <c r="XA26" s="35"/>
      <c r="XB26" s="35"/>
      <c r="XC26" s="35"/>
      <c r="XD26" s="35"/>
      <c r="XE26" s="35"/>
      <c r="XF26" s="35"/>
      <c r="XG26" s="35"/>
      <c r="XH26" s="35"/>
      <c r="XI26" s="35"/>
      <c r="XJ26" s="35"/>
      <c r="XK26" s="35"/>
      <c r="XL26" s="35"/>
      <c r="XM26" s="35"/>
      <c r="XN26" s="35"/>
      <c r="XO26" s="35"/>
      <c r="XP26" s="35"/>
      <c r="XQ26" s="35"/>
      <c r="XR26" s="35"/>
      <c r="XS26" s="35"/>
      <c r="XT26" s="35"/>
      <c r="XU26" s="35"/>
      <c r="XV26" s="35"/>
      <c r="XW26" s="35"/>
      <c r="XX26" s="35"/>
      <c r="XY26" s="35"/>
      <c r="XZ26" s="35"/>
      <c r="YA26" s="35"/>
      <c r="YB26" s="35"/>
      <c r="YC26" s="35"/>
      <c r="YD26" s="35"/>
      <c r="YE26" s="35"/>
      <c r="YF26" s="35"/>
      <c r="YG26" s="35"/>
      <c r="YH26" s="35"/>
      <c r="YI26" s="35"/>
      <c r="YJ26" s="35"/>
      <c r="YK26" s="35"/>
      <c r="YL26" s="35"/>
      <c r="YM26" s="35"/>
      <c r="YN26" s="35"/>
      <c r="YO26" s="35"/>
      <c r="YP26" s="35"/>
      <c r="YQ26" s="35"/>
      <c r="YR26" s="35"/>
      <c r="YS26" s="35"/>
      <c r="YT26" s="35"/>
      <c r="YU26" s="35"/>
      <c r="YV26" s="35"/>
      <c r="YW26" s="35"/>
      <c r="YX26" s="35"/>
      <c r="YY26" s="35"/>
      <c r="YZ26" s="35"/>
      <c r="ZA26" s="35"/>
      <c r="ZB26" s="35"/>
      <c r="ZC26" s="35"/>
      <c r="ZD26" s="35"/>
      <c r="ZE26" s="35"/>
      <c r="ZF26" s="35"/>
      <c r="ZG26" s="35"/>
      <c r="ZH26" s="35"/>
      <c r="ZI26" s="35"/>
      <c r="ZJ26" s="35"/>
      <c r="ZK26" s="35"/>
      <c r="ZL26" s="35"/>
      <c r="ZM26" s="35"/>
      <c r="ZN26" s="35"/>
    </row>
    <row r="27" spans="1:690">
      <c r="E27" s="36" t="s">
        <v>75</v>
      </c>
      <c r="F27" s="84"/>
      <c r="G27" s="84"/>
      <c r="H27" s="84"/>
      <c r="I27" s="70"/>
    </row>
    <row r="28" spans="1:690">
      <c r="E28" s="37" t="s">
        <v>215</v>
      </c>
      <c r="F28" s="70">
        <f>15000+1200</f>
        <v>16200</v>
      </c>
      <c r="G28" s="70">
        <f>15000</f>
        <v>15000</v>
      </c>
      <c r="H28" s="70">
        <f>15000</f>
        <v>15000</v>
      </c>
      <c r="I28" s="70">
        <f>SUM(F28:H28)</f>
        <v>46200</v>
      </c>
    </row>
    <row r="29" spans="1:690">
      <c r="E29" s="37" t="s">
        <v>104</v>
      </c>
      <c r="F29" s="70">
        <v>0</v>
      </c>
      <c r="G29" s="70">
        <v>2700</v>
      </c>
      <c r="H29" s="70">
        <v>2700</v>
      </c>
      <c r="I29" s="70">
        <f>SUM(F29:H29)</f>
        <v>5400</v>
      </c>
    </row>
    <row r="30" spans="1:690">
      <c r="E30" s="48" t="s">
        <v>174</v>
      </c>
      <c r="F30" s="64">
        <v>6000</v>
      </c>
      <c r="G30" s="64">
        <v>6000</v>
      </c>
      <c r="H30" s="64">
        <v>6000</v>
      </c>
      <c r="I30" s="64">
        <f>SUM(F30:H30)</f>
        <v>18000</v>
      </c>
    </row>
    <row r="31" spans="1:690" s="55" customFormat="1">
      <c r="A31" s="35"/>
      <c r="B31" s="35"/>
      <c r="C31" s="35"/>
      <c r="D31" s="39"/>
      <c r="E31" s="60" t="s">
        <v>76</v>
      </c>
      <c r="F31" s="70">
        <f>SUM(F28:F30)</f>
        <v>22200</v>
      </c>
      <c r="G31" s="70">
        <f>SUM(G28:G30)</f>
        <v>23700</v>
      </c>
      <c r="H31" s="70">
        <f>SUM(H28:H30)</f>
        <v>23700</v>
      </c>
      <c r="I31" s="70">
        <f>SUM(I28:I30)</f>
        <v>69600</v>
      </c>
      <c r="J31" s="35"/>
      <c r="K31" s="71"/>
      <c r="L31" s="39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  <c r="IT31" s="35"/>
      <c r="IU31" s="35"/>
      <c r="IV31" s="35"/>
      <c r="IW31" s="35"/>
      <c r="IX31" s="35"/>
      <c r="IY31" s="35"/>
      <c r="IZ31" s="35"/>
      <c r="JA31" s="35"/>
      <c r="JB31" s="35"/>
      <c r="JC31" s="35"/>
      <c r="JD31" s="35"/>
      <c r="JE31" s="35"/>
      <c r="JF31" s="35"/>
      <c r="JG31" s="35"/>
      <c r="JH31" s="35"/>
      <c r="JI31" s="35"/>
      <c r="JJ31" s="35"/>
      <c r="JK31" s="35"/>
      <c r="JL31" s="35"/>
      <c r="JM31" s="35"/>
      <c r="JN31" s="35"/>
      <c r="JO31" s="35"/>
      <c r="JP31" s="35"/>
      <c r="JQ31" s="35"/>
      <c r="JR31" s="35"/>
      <c r="JS31" s="35"/>
      <c r="JT31" s="35"/>
      <c r="JU31" s="35"/>
      <c r="JV31" s="35"/>
      <c r="JW31" s="35"/>
      <c r="JX31" s="35"/>
      <c r="JY31" s="35"/>
      <c r="JZ31" s="35"/>
      <c r="KA31" s="35"/>
      <c r="KB31" s="35"/>
      <c r="KC31" s="35"/>
      <c r="KD31" s="35"/>
      <c r="KE31" s="35"/>
      <c r="KF31" s="35"/>
      <c r="KG31" s="35"/>
      <c r="KH31" s="35"/>
      <c r="KI31" s="35"/>
      <c r="KJ31" s="35"/>
      <c r="KK31" s="35"/>
      <c r="KL31" s="35"/>
      <c r="KM31" s="35"/>
      <c r="KN31" s="35"/>
      <c r="KO31" s="35"/>
      <c r="KP31" s="35"/>
      <c r="KQ31" s="35"/>
      <c r="KR31" s="35"/>
      <c r="KS31" s="35"/>
      <c r="KT31" s="35"/>
      <c r="KU31" s="35"/>
      <c r="KV31" s="35"/>
      <c r="KW31" s="35"/>
      <c r="KX31" s="35"/>
      <c r="KY31" s="35"/>
      <c r="KZ31" s="35"/>
      <c r="LA31" s="35"/>
      <c r="LB31" s="35"/>
      <c r="LC31" s="35"/>
      <c r="LD31" s="35"/>
      <c r="LE31" s="35"/>
      <c r="LF31" s="35"/>
      <c r="LG31" s="35"/>
      <c r="LH31" s="35"/>
      <c r="LI31" s="35"/>
      <c r="LJ31" s="35"/>
      <c r="LK31" s="35"/>
      <c r="LL31" s="35"/>
      <c r="LM31" s="35"/>
      <c r="LN31" s="35"/>
      <c r="LO31" s="35"/>
      <c r="LP31" s="35"/>
      <c r="LQ31" s="35"/>
      <c r="LR31" s="35"/>
      <c r="LS31" s="35"/>
      <c r="LT31" s="35"/>
      <c r="LU31" s="35"/>
      <c r="LV31" s="35"/>
      <c r="LW31" s="35"/>
      <c r="LX31" s="35"/>
      <c r="LY31" s="35"/>
      <c r="LZ31" s="35"/>
      <c r="MA31" s="35"/>
      <c r="MB31" s="35"/>
      <c r="MC31" s="35"/>
      <c r="MD31" s="35"/>
      <c r="ME31" s="35"/>
      <c r="MF31" s="35"/>
      <c r="MG31" s="35"/>
      <c r="MH31" s="35"/>
      <c r="MI31" s="35"/>
      <c r="MJ31" s="35"/>
      <c r="MK31" s="35"/>
      <c r="ML31" s="35"/>
      <c r="MM31" s="35"/>
      <c r="MN31" s="35"/>
      <c r="MO31" s="35"/>
      <c r="MP31" s="35"/>
      <c r="MQ31" s="35"/>
      <c r="MR31" s="35"/>
      <c r="MS31" s="35"/>
      <c r="MT31" s="35"/>
      <c r="MU31" s="35"/>
      <c r="MV31" s="35"/>
      <c r="MW31" s="35"/>
      <c r="MX31" s="35"/>
      <c r="MY31" s="35"/>
      <c r="MZ31" s="35"/>
      <c r="NA31" s="35"/>
      <c r="NB31" s="35"/>
      <c r="NC31" s="35"/>
      <c r="ND31" s="35"/>
      <c r="NE31" s="35"/>
      <c r="NF31" s="35"/>
      <c r="NG31" s="35"/>
      <c r="NH31" s="35"/>
      <c r="NI31" s="35"/>
      <c r="NJ31" s="35"/>
      <c r="NK31" s="35"/>
      <c r="NL31" s="35"/>
      <c r="NM31" s="35"/>
      <c r="NN31" s="35"/>
      <c r="NO31" s="35"/>
      <c r="NP31" s="35"/>
      <c r="NQ31" s="35"/>
      <c r="NR31" s="35"/>
      <c r="NS31" s="35"/>
      <c r="NT31" s="35"/>
      <c r="NU31" s="35"/>
      <c r="NV31" s="35"/>
      <c r="NW31" s="35"/>
      <c r="NX31" s="35"/>
      <c r="NY31" s="35"/>
      <c r="NZ31" s="35"/>
      <c r="OA31" s="35"/>
      <c r="OB31" s="35"/>
      <c r="OC31" s="35"/>
      <c r="OD31" s="35"/>
      <c r="OE31" s="35"/>
      <c r="OF31" s="35"/>
      <c r="OG31" s="35"/>
      <c r="OH31" s="35"/>
      <c r="OI31" s="35"/>
      <c r="OJ31" s="35"/>
      <c r="OK31" s="35"/>
      <c r="OL31" s="35"/>
      <c r="OM31" s="35"/>
      <c r="ON31" s="35"/>
      <c r="OO31" s="35"/>
      <c r="OP31" s="35"/>
      <c r="OQ31" s="35"/>
      <c r="OR31" s="35"/>
      <c r="OS31" s="35"/>
      <c r="OT31" s="35"/>
      <c r="OU31" s="35"/>
      <c r="OV31" s="35"/>
      <c r="OW31" s="35"/>
      <c r="OX31" s="35"/>
      <c r="OY31" s="35"/>
      <c r="OZ31" s="35"/>
      <c r="PA31" s="35"/>
      <c r="PB31" s="35"/>
      <c r="PC31" s="35"/>
      <c r="PD31" s="35"/>
      <c r="PE31" s="35"/>
      <c r="PF31" s="35"/>
      <c r="PG31" s="35"/>
      <c r="PH31" s="35"/>
      <c r="PI31" s="35"/>
      <c r="PJ31" s="35"/>
      <c r="PK31" s="35"/>
      <c r="PL31" s="35"/>
      <c r="PM31" s="35"/>
      <c r="PN31" s="35"/>
      <c r="PO31" s="35"/>
      <c r="PP31" s="35"/>
      <c r="PQ31" s="35"/>
      <c r="PR31" s="35"/>
      <c r="PS31" s="35"/>
      <c r="PT31" s="35"/>
      <c r="PU31" s="35"/>
      <c r="PV31" s="35"/>
      <c r="PW31" s="35"/>
      <c r="PX31" s="35"/>
      <c r="PY31" s="35"/>
      <c r="PZ31" s="35"/>
      <c r="QA31" s="35"/>
      <c r="QB31" s="35"/>
      <c r="QC31" s="35"/>
      <c r="QD31" s="35"/>
      <c r="QE31" s="35"/>
      <c r="QF31" s="35"/>
      <c r="QG31" s="35"/>
      <c r="QH31" s="35"/>
      <c r="QI31" s="35"/>
      <c r="QJ31" s="35"/>
      <c r="QK31" s="35"/>
      <c r="QL31" s="35"/>
      <c r="QM31" s="35"/>
      <c r="QN31" s="35"/>
      <c r="QO31" s="35"/>
      <c r="QP31" s="35"/>
      <c r="QQ31" s="35"/>
      <c r="QR31" s="35"/>
      <c r="QS31" s="35"/>
      <c r="QT31" s="35"/>
      <c r="QU31" s="35"/>
      <c r="QV31" s="35"/>
      <c r="QW31" s="35"/>
      <c r="QX31" s="35"/>
      <c r="QY31" s="35"/>
      <c r="QZ31" s="35"/>
      <c r="RA31" s="35"/>
      <c r="RB31" s="35"/>
      <c r="RC31" s="35"/>
      <c r="RD31" s="35"/>
      <c r="RE31" s="35"/>
      <c r="RF31" s="35"/>
      <c r="RG31" s="35"/>
      <c r="RH31" s="35"/>
      <c r="RI31" s="35"/>
      <c r="RJ31" s="35"/>
      <c r="RK31" s="35"/>
      <c r="RL31" s="35"/>
      <c r="RM31" s="35"/>
      <c r="RN31" s="35"/>
      <c r="RO31" s="35"/>
      <c r="RP31" s="35"/>
      <c r="RQ31" s="35"/>
      <c r="RR31" s="35"/>
      <c r="RS31" s="35"/>
      <c r="RT31" s="35"/>
      <c r="RU31" s="35"/>
      <c r="RV31" s="35"/>
      <c r="RW31" s="35"/>
      <c r="RX31" s="35"/>
      <c r="RY31" s="35"/>
      <c r="RZ31" s="35"/>
      <c r="SA31" s="35"/>
      <c r="SB31" s="35"/>
      <c r="SC31" s="35"/>
      <c r="SD31" s="35"/>
      <c r="SE31" s="35"/>
      <c r="SF31" s="35"/>
      <c r="SG31" s="35"/>
      <c r="SH31" s="35"/>
      <c r="SI31" s="35"/>
      <c r="SJ31" s="35"/>
      <c r="SK31" s="35"/>
      <c r="SL31" s="35"/>
      <c r="SM31" s="35"/>
      <c r="SN31" s="35"/>
      <c r="SO31" s="35"/>
      <c r="SP31" s="35"/>
      <c r="SQ31" s="35"/>
      <c r="SR31" s="35"/>
      <c r="SS31" s="35"/>
      <c r="ST31" s="35"/>
      <c r="SU31" s="35"/>
      <c r="SV31" s="35"/>
      <c r="SW31" s="35"/>
      <c r="SX31" s="35"/>
      <c r="SY31" s="35"/>
      <c r="SZ31" s="35"/>
      <c r="TA31" s="35"/>
      <c r="TB31" s="35"/>
      <c r="TC31" s="35"/>
      <c r="TD31" s="35"/>
      <c r="TE31" s="35"/>
      <c r="TF31" s="35"/>
      <c r="TG31" s="35"/>
      <c r="TH31" s="35"/>
      <c r="TI31" s="35"/>
      <c r="TJ31" s="35"/>
      <c r="TK31" s="35"/>
      <c r="TL31" s="35"/>
      <c r="TM31" s="35"/>
      <c r="TN31" s="35"/>
      <c r="TO31" s="35"/>
      <c r="TP31" s="35"/>
      <c r="TQ31" s="35"/>
      <c r="TR31" s="35"/>
      <c r="TS31" s="35"/>
      <c r="TT31" s="35"/>
      <c r="TU31" s="35"/>
      <c r="TV31" s="35"/>
      <c r="TW31" s="35"/>
      <c r="TX31" s="35"/>
      <c r="TY31" s="35"/>
      <c r="TZ31" s="35"/>
      <c r="UA31" s="35"/>
      <c r="UB31" s="35"/>
      <c r="UC31" s="35"/>
      <c r="UD31" s="35"/>
      <c r="UE31" s="35"/>
      <c r="UF31" s="35"/>
      <c r="UG31" s="35"/>
      <c r="UH31" s="35"/>
      <c r="UI31" s="35"/>
      <c r="UJ31" s="35"/>
      <c r="UK31" s="35"/>
      <c r="UL31" s="35"/>
      <c r="UM31" s="35"/>
      <c r="UN31" s="35"/>
      <c r="UO31" s="35"/>
      <c r="UP31" s="35"/>
      <c r="UQ31" s="35"/>
      <c r="UR31" s="35"/>
      <c r="US31" s="35"/>
      <c r="UT31" s="35"/>
      <c r="UU31" s="35"/>
      <c r="UV31" s="35"/>
      <c r="UW31" s="35"/>
      <c r="UX31" s="35"/>
      <c r="UY31" s="35"/>
      <c r="UZ31" s="35"/>
      <c r="VA31" s="35"/>
      <c r="VB31" s="35"/>
      <c r="VC31" s="35"/>
      <c r="VD31" s="35"/>
      <c r="VE31" s="35"/>
      <c r="VF31" s="35"/>
      <c r="VG31" s="35"/>
      <c r="VH31" s="35"/>
      <c r="VI31" s="35"/>
      <c r="VJ31" s="35"/>
      <c r="VK31" s="35"/>
      <c r="VL31" s="35"/>
      <c r="VM31" s="35"/>
      <c r="VN31" s="35"/>
      <c r="VO31" s="35"/>
      <c r="VP31" s="35"/>
      <c r="VQ31" s="35"/>
      <c r="VR31" s="35"/>
      <c r="VS31" s="35"/>
      <c r="VT31" s="35"/>
      <c r="VU31" s="35"/>
      <c r="VV31" s="35"/>
      <c r="VW31" s="35"/>
      <c r="VX31" s="35"/>
      <c r="VY31" s="35"/>
      <c r="VZ31" s="35"/>
      <c r="WA31" s="35"/>
      <c r="WB31" s="35"/>
      <c r="WC31" s="35"/>
      <c r="WD31" s="35"/>
      <c r="WE31" s="35"/>
      <c r="WF31" s="35"/>
      <c r="WG31" s="35"/>
      <c r="WH31" s="35"/>
      <c r="WI31" s="35"/>
      <c r="WJ31" s="35"/>
      <c r="WK31" s="35"/>
      <c r="WL31" s="35"/>
      <c r="WM31" s="35"/>
      <c r="WN31" s="35"/>
      <c r="WO31" s="35"/>
      <c r="WP31" s="35"/>
      <c r="WQ31" s="35"/>
      <c r="WR31" s="35"/>
      <c r="WS31" s="35"/>
      <c r="WT31" s="35"/>
      <c r="WU31" s="35"/>
      <c r="WV31" s="35"/>
      <c r="WW31" s="35"/>
      <c r="WX31" s="35"/>
      <c r="WY31" s="35"/>
      <c r="WZ31" s="35"/>
      <c r="XA31" s="35"/>
      <c r="XB31" s="35"/>
      <c r="XC31" s="35"/>
      <c r="XD31" s="35"/>
      <c r="XE31" s="35"/>
      <c r="XF31" s="35"/>
      <c r="XG31" s="35"/>
      <c r="XH31" s="35"/>
      <c r="XI31" s="35"/>
      <c r="XJ31" s="35"/>
      <c r="XK31" s="35"/>
      <c r="XL31" s="35"/>
      <c r="XM31" s="35"/>
      <c r="XN31" s="35"/>
      <c r="XO31" s="35"/>
      <c r="XP31" s="35"/>
      <c r="XQ31" s="35"/>
      <c r="XR31" s="35"/>
      <c r="XS31" s="35"/>
      <c r="XT31" s="35"/>
      <c r="XU31" s="35"/>
      <c r="XV31" s="35"/>
      <c r="XW31" s="35"/>
      <c r="XX31" s="35"/>
      <c r="XY31" s="35"/>
      <c r="XZ31" s="35"/>
      <c r="YA31" s="35"/>
      <c r="YB31" s="35"/>
      <c r="YC31" s="35"/>
      <c r="YD31" s="35"/>
      <c r="YE31" s="35"/>
      <c r="YF31" s="35"/>
      <c r="YG31" s="35"/>
      <c r="YH31" s="35"/>
      <c r="YI31" s="35"/>
      <c r="YJ31" s="35"/>
      <c r="YK31" s="35"/>
      <c r="YL31" s="35"/>
      <c r="YM31" s="35"/>
      <c r="YN31" s="35"/>
      <c r="YO31" s="35"/>
      <c r="YP31" s="35"/>
      <c r="YQ31" s="35"/>
      <c r="YR31" s="35"/>
      <c r="YS31" s="35"/>
      <c r="YT31" s="35"/>
      <c r="YU31" s="35"/>
      <c r="YV31" s="35"/>
      <c r="YW31" s="35"/>
      <c r="YX31" s="35"/>
      <c r="YY31" s="35"/>
      <c r="YZ31" s="35"/>
      <c r="ZA31" s="35"/>
      <c r="ZB31" s="35"/>
      <c r="ZC31" s="35"/>
      <c r="ZD31" s="35"/>
      <c r="ZE31" s="35"/>
      <c r="ZF31" s="35"/>
      <c r="ZG31" s="35"/>
      <c r="ZH31" s="35"/>
      <c r="ZI31" s="35"/>
      <c r="ZJ31" s="35"/>
      <c r="ZK31" s="35"/>
      <c r="ZL31" s="35"/>
      <c r="ZM31" s="35"/>
      <c r="ZN31" s="35"/>
    </row>
    <row r="32" spans="1:690">
      <c r="E32" s="44" t="s">
        <v>77</v>
      </c>
      <c r="F32" s="83">
        <f>SUM(F31+F25+F21+F26)</f>
        <v>166772.88874826388</v>
      </c>
      <c r="G32" s="83">
        <f>SUM(G31+G25+G21+G26)</f>
        <v>168400.88874826388</v>
      </c>
      <c r="H32" s="83">
        <f>SUM(H31+H25+H21+H26)</f>
        <v>104942.44708159722</v>
      </c>
      <c r="I32" s="83">
        <f>SUM(I31+I25+I21+I26)</f>
        <v>440116.22457812499</v>
      </c>
    </row>
    <row r="33" spans="1:14">
      <c r="E33" s="37" t="s">
        <v>190</v>
      </c>
      <c r="F33" s="84">
        <f>F32*0.442</f>
        <v>73713.616826732643</v>
      </c>
      <c r="G33" s="84">
        <f t="shared" ref="G33:H33" si="13">G32*0.442</f>
        <v>74433.192826732629</v>
      </c>
      <c r="H33" s="84">
        <f t="shared" si="13"/>
        <v>46384.561610065968</v>
      </c>
      <c r="I33" s="70">
        <f t="shared" ref="I33:I38" si="14">SUM(F33:H33)</f>
        <v>194531.37126353127</v>
      </c>
      <c r="J33" s="61"/>
      <c r="K33" s="62"/>
    </row>
    <row r="34" spans="1:14">
      <c r="E34" s="48" t="s">
        <v>191</v>
      </c>
      <c r="F34" s="64">
        <f>2*25000*0.442</f>
        <v>22100</v>
      </c>
      <c r="G34" s="64">
        <f t="shared" ref="G34:H34" si="15">2*25000*0.442</f>
        <v>22100</v>
      </c>
      <c r="H34" s="64">
        <f t="shared" si="15"/>
        <v>22100</v>
      </c>
      <c r="I34" s="64">
        <f t="shared" si="14"/>
        <v>66300</v>
      </c>
      <c r="J34" s="62"/>
      <c r="K34" s="39"/>
      <c r="L34" s="39"/>
    </row>
    <row r="35" spans="1:14">
      <c r="E35" s="37" t="s">
        <v>78</v>
      </c>
      <c r="F35" s="70">
        <f>F85</f>
        <v>89352.37079893332</v>
      </c>
      <c r="G35" s="70">
        <f>G85</f>
        <v>488680.58870377333</v>
      </c>
      <c r="H35" s="70">
        <f>H85</f>
        <v>487662.0735557733</v>
      </c>
      <c r="I35" s="70">
        <f t="shared" si="14"/>
        <v>1065695.0330584799</v>
      </c>
    </row>
    <row r="36" spans="1:14">
      <c r="E36" s="48" t="s">
        <v>79</v>
      </c>
      <c r="F36" s="83">
        <f>F119</f>
        <v>133830.91666666669</v>
      </c>
      <c r="G36" s="83">
        <f>G119</f>
        <v>70125.916666666672</v>
      </c>
      <c r="H36" s="83">
        <f>H119</f>
        <v>29382.916666666668</v>
      </c>
      <c r="I36" s="64">
        <f t="shared" si="14"/>
        <v>233339.75000000003</v>
      </c>
      <c r="J36" s="71"/>
    </row>
    <row r="37" spans="1:14">
      <c r="E37" s="37" t="s">
        <v>184</v>
      </c>
      <c r="F37" s="84">
        <f>SUM(F33+F34)</f>
        <v>95813.616826732643</v>
      </c>
      <c r="G37" s="84">
        <f t="shared" ref="G37" si="16">SUM(G33+G34)</f>
        <v>96533.192826732629</v>
      </c>
      <c r="H37" s="84">
        <f>SUM(H33+H34)</f>
        <v>68484.561610065968</v>
      </c>
      <c r="I37" s="70">
        <f>SUM(F37:H37)</f>
        <v>260831.37126353127</v>
      </c>
      <c r="J37" s="111">
        <f>I37+I32</f>
        <v>700947.59584165621</v>
      </c>
      <c r="K37" s="111"/>
    </row>
    <row r="38" spans="1:14">
      <c r="E38" s="85" t="s">
        <v>62</v>
      </c>
      <c r="F38" s="86">
        <f>SUM(F36+F34+F33+F32+F35)</f>
        <v>485769.79304059653</v>
      </c>
      <c r="G38" s="86">
        <f>SUM(G36+G34+G33+G32+G35)</f>
        <v>823740.58694543655</v>
      </c>
      <c r="H38" s="86">
        <f>SUM(H36+H34+H33+H32+H35)</f>
        <v>690471.99891410314</v>
      </c>
      <c r="I38" s="86">
        <f t="shared" si="14"/>
        <v>1999982.3789001363</v>
      </c>
      <c r="J38" s="107">
        <f>J37+I36+I35</f>
        <v>1999982.3789001361</v>
      </c>
      <c r="K38" s="111">
        <f>2000000-J38</f>
        <v>17.621099863899872</v>
      </c>
    </row>
    <row r="39" spans="1:14">
      <c r="F39" s="18"/>
      <c r="G39" s="18"/>
      <c r="H39" s="18"/>
      <c r="I39" s="39"/>
    </row>
    <row r="40" spans="1:14">
      <c r="A40" s="146" t="s">
        <v>108</v>
      </c>
      <c r="B40" s="146"/>
      <c r="C40" s="146"/>
      <c r="D40" s="38"/>
      <c r="E40" s="36" t="s">
        <v>56</v>
      </c>
      <c r="F40" s="90" t="s">
        <v>59</v>
      </c>
      <c r="G40" s="90" t="s">
        <v>60</v>
      </c>
      <c r="H40" s="90" t="s">
        <v>61</v>
      </c>
      <c r="I40" s="90" t="s">
        <v>62</v>
      </c>
    </row>
    <row r="41" spans="1:14">
      <c r="A41" s="90" t="s">
        <v>59</v>
      </c>
      <c r="B41" s="90" t="s">
        <v>60</v>
      </c>
      <c r="C41" s="90" t="s">
        <v>61</v>
      </c>
      <c r="D41" s="59" t="s">
        <v>107</v>
      </c>
      <c r="E41" s="44" t="s">
        <v>64</v>
      </c>
      <c r="F41" s="92">
        <v>0.28199999999999997</v>
      </c>
      <c r="G41" s="92">
        <v>0.28199999999999997</v>
      </c>
      <c r="H41" s="92">
        <v>0.28199999999999997</v>
      </c>
      <c r="I41" s="44"/>
    </row>
    <row r="42" spans="1:14">
      <c r="A42" s="36">
        <v>0.5</v>
      </c>
      <c r="B42" s="36">
        <v>0.5</v>
      </c>
      <c r="C42" s="36">
        <v>0.5</v>
      </c>
      <c r="D42" s="38">
        <v>444316</v>
      </c>
      <c r="E42" s="40" t="s">
        <v>114</v>
      </c>
      <c r="F42" s="82">
        <f>(D42/12)*A42</f>
        <v>18513.166666666668</v>
      </c>
      <c r="G42" s="82">
        <f>((D42)*((1+0.03)^1)/12)*B42</f>
        <v>19068.561666666668</v>
      </c>
      <c r="H42" s="82">
        <f>((D42)*((1+0.03)^2)/12)*C42</f>
        <v>19640.618516666666</v>
      </c>
      <c r="I42" s="70">
        <f t="shared" ref="I42:I58" si="17">SUM(F42:H42)</f>
        <v>57222.346850000002</v>
      </c>
      <c r="J42" s="58"/>
      <c r="K42" s="39"/>
      <c r="L42" s="39"/>
      <c r="M42" s="39"/>
      <c r="N42" s="39"/>
    </row>
    <row r="43" spans="1:14">
      <c r="A43" s="36">
        <v>0.5</v>
      </c>
      <c r="B43" s="36">
        <v>0.5</v>
      </c>
      <c r="C43" s="36">
        <v>0.5</v>
      </c>
      <c r="D43" s="38">
        <v>444316</v>
      </c>
      <c r="E43" s="40" t="s">
        <v>114</v>
      </c>
      <c r="F43" s="82">
        <f>SUM($F$42:$H$42)/3</f>
        <v>19074.115616666666</v>
      </c>
      <c r="G43" s="82">
        <f t="shared" ref="G43:H43" si="18">SUM($F$42:$H$42)/3</f>
        <v>19074.115616666666</v>
      </c>
      <c r="H43" s="82">
        <f t="shared" si="18"/>
        <v>19074.115616666666</v>
      </c>
      <c r="I43" s="70">
        <f t="shared" si="17"/>
        <v>57222.346850000002</v>
      </c>
      <c r="J43" s="58"/>
      <c r="K43" s="39"/>
      <c r="L43" s="39"/>
      <c r="M43" s="39"/>
      <c r="N43" s="39"/>
    </row>
    <row r="44" spans="1:14" s="95" customFormat="1">
      <c r="A44" s="44"/>
      <c r="B44" s="44"/>
      <c r="C44" s="44"/>
      <c r="D44" s="46"/>
      <c r="E44" s="45" t="s">
        <v>80</v>
      </c>
      <c r="F44" s="83">
        <f>F41*F43</f>
        <v>5378.9006038999996</v>
      </c>
      <c r="G44" s="83">
        <f t="shared" ref="G44:H44" si="19">G41*G43</f>
        <v>5378.9006038999996</v>
      </c>
      <c r="H44" s="83">
        <f t="shared" si="19"/>
        <v>5378.9006038999996</v>
      </c>
      <c r="I44" s="64">
        <f t="shared" si="17"/>
        <v>16136.701811699999</v>
      </c>
      <c r="K44" s="134"/>
    </row>
    <row r="45" spans="1:14">
      <c r="A45" s="87">
        <v>2</v>
      </c>
      <c r="B45" s="87">
        <v>2</v>
      </c>
      <c r="C45" s="87">
        <v>2</v>
      </c>
      <c r="D45" s="38">
        <v>130681</v>
      </c>
      <c r="E45" s="40" t="s">
        <v>115</v>
      </c>
      <c r="F45" s="82">
        <f>(D45/12)*A45</f>
        <v>21780.166666666668</v>
      </c>
      <c r="G45" s="82">
        <f>((D45)*((1+0.03)^1)/12)*B45</f>
        <v>22433.571666666667</v>
      </c>
      <c r="H45" s="82">
        <f>((D45)*((1+0.03)^2)/12)*C45</f>
        <v>23106.578816666664</v>
      </c>
      <c r="I45" s="70">
        <f t="shared" si="17"/>
        <v>67320.317150000003</v>
      </c>
      <c r="J45" s="58"/>
    </row>
    <row r="46" spans="1:14">
      <c r="A46" s="87">
        <v>2</v>
      </c>
      <c r="B46" s="87">
        <v>2</v>
      </c>
      <c r="C46" s="87">
        <v>2</v>
      </c>
      <c r="D46" s="38">
        <v>130681</v>
      </c>
      <c r="E46" s="40" t="s">
        <v>115</v>
      </c>
      <c r="F46" s="82">
        <f>SUM($F$45:$H$45)/3</f>
        <v>22440.105716666669</v>
      </c>
      <c r="G46" s="82">
        <f t="shared" ref="G46:H46" si="20">SUM($F$45:$H$45)/3</f>
        <v>22440.105716666669</v>
      </c>
      <c r="H46" s="82">
        <f t="shared" si="20"/>
        <v>22440.105716666669</v>
      </c>
      <c r="I46" s="70">
        <f t="shared" si="17"/>
        <v>67320.317150000003</v>
      </c>
      <c r="J46" s="58"/>
    </row>
    <row r="47" spans="1:14" s="95" customFormat="1">
      <c r="A47" s="44"/>
      <c r="B47" s="44"/>
      <c r="C47" s="44"/>
      <c r="D47" s="46"/>
      <c r="E47" s="45" t="s">
        <v>81</v>
      </c>
      <c r="F47" s="83">
        <f t="shared" ref="F47:G47" si="21">F46*F41</f>
        <v>6328.1098120999995</v>
      </c>
      <c r="G47" s="83">
        <f t="shared" si="21"/>
        <v>6328.1098120999995</v>
      </c>
      <c r="H47" s="83">
        <f>H46*H41</f>
        <v>6328.1098120999995</v>
      </c>
      <c r="I47" s="64">
        <f t="shared" si="17"/>
        <v>18984.329436299999</v>
      </c>
    </row>
    <row r="48" spans="1:14">
      <c r="A48" s="36">
        <v>0</v>
      </c>
      <c r="B48" s="36">
        <v>1.2</v>
      </c>
      <c r="C48" s="36">
        <v>1.2</v>
      </c>
      <c r="D48" s="38">
        <v>74750</v>
      </c>
      <c r="E48" s="40" t="s">
        <v>138</v>
      </c>
      <c r="F48" s="82">
        <f>(D48/12)*A48</f>
        <v>0</v>
      </c>
      <c r="G48" s="82">
        <f>((D48)*((1+0.03)^1)/12)*B48</f>
        <v>7699.25</v>
      </c>
      <c r="H48" s="82">
        <f>((D48)*((1+0.03)^2)/12)*C48</f>
        <v>7930.2274999999991</v>
      </c>
      <c r="I48" s="70">
        <f t="shared" si="17"/>
        <v>15629.477499999999</v>
      </c>
      <c r="J48" s="58"/>
    </row>
    <row r="49" spans="1:18">
      <c r="A49" s="36">
        <v>0</v>
      </c>
      <c r="B49" s="36">
        <v>1.2</v>
      </c>
      <c r="C49" s="36">
        <v>1.2</v>
      </c>
      <c r="D49" s="38">
        <v>74750</v>
      </c>
      <c r="E49" s="40" t="s">
        <v>138</v>
      </c>
      <c r="F49" s="82">
        <v>0</v>
      </c>
      <c r="G49" s="82">
        <f>SUM($G$48:$H$48)/2</f>
        <v>7814.7387499999995</v>
      </c>
      <c r="H49" s="82">
        <f>SUM($G$48:$H$48)/2</f>
        <v>7814.7387499999995</v>
      </c>
      <c r="I49" s="70">
        <f t="shared" si="17"/>
        <v>15629.477499999999</v>
      </c>
      <c r="J49" s="58"/>
    </row>
    <row r="50" spans="1:18" s="95" customFormat="1">
      <c r="A50" s="44"/>
      <c r="B50" s="44"/>
      <c r="C50" s="44"/>
      <c r="D50" s="46"/>
      <c r="E50" s="45" t="s">
        <v>139</v>
      </c>
      <c r="F50" s="83">
        <f>F48*0.3</f>
        <v>0</v>
      </c>
      <c r="G50" s="83">
        <f>G49*G41</f>
        <v>2203.7563274999998</v>
      </c>
      <c r="H50" s="83">
        <f>H49*H41</f>
        <v>2203.7563274999998</v>
      </c>
      <c r="I50" s="64">
        <f t="shared" si="17"/>
        <v>4407.5126549999995</v>
      </c>
    </row>
    <row r="51" spans="1:18">
      <c r="A51" s="36">
        <v>0</v>
      </c>
      <c r="B51" s="36">
        <v>1</v>
      </c>
      <c r="C51" s="36">
        <v>1</v>
      </c>
      <c r="D51" s="38">
        <v>62727</v>
      </c>
      <c r="E51" s="40" t="s">
        <v>118</v>
      </c>
      <c r="F51" s="82">
        <f>(D51/12)*A51</f>
        <v>0</v>
      </c>
      <c r="G51" s="82">
        <f>((D51)*((1+0.03)^1)/12)*B51</f>
        <v>5384.0675000000001</v>
      </c>
      <c r="H51" s="82">
        <f>((D51)*((1+0.03)^2)/12)*C51</f>
        <v>5545.5895249999994</v>
      </c>
      <c r="I51" s="70">
        <f t="shared" si="17"/>
        <v>10929.657025</v>
      </c>
      <c r="J51" s="58"/>
    </row>
    <row r="52" spans="1:18">
      <c r="A52" s="36">
        <v>0</v>
      </c>
      <c r="B52" s="36">
        <v>1</v>
      </c>
      <c r="C52" s="36">
        <v>1</v>
      </c>
      <c r="D52" s="38">
        <v>62727</v>
      </c>
      <c r="E52" s="40" t="s">
        <v>118</v>
      </c>
      <c r="F52" s="82">
        <v>0</v>
      </c>
      <c r="G52" s="82">
        <f>SUM($G$51:$H$51)/2</f>
        <v>5464.8285125000002</v>
      </c>
      <c r="H52" s="82">
        <f>SUM($G$51:$H$51)/2</f>
        <v>5464.8285125000002</v>
      </c>
      <c r="I52" s="70">
        <f t="shared" si="17"/>
        <v>10929.657025</v>
      </c>
      <c r="J52" s="58"/>
    </row>
    <row r="53" spans="1:18" s="95" customFormat="1">
      <c r="A53" s="44"/>
      <c r="B53" s="44"/>
      <c r="C53" s="44"/>
      <c r="D53" s="46"/>
      <c r="E53" s="45" t="s">
        <v>140</v>
      </c>
      <c r="F53" s="83">
        <f>F51*0.3</f>
        <v>0</v>
      </c>
      <c r="G53" s="83">
        <f>G52*G41</f>
        <v>1541.081640525</v>
      </c>
      <c r="H53" s="83">
        <f>H52*H41</f>
        <v>1541.081640525</v>
      </c>
      <c r="I53" s="64">
        <f t="shared" si="17"/>
        <v>3082.16328105</v>
      </c>
    </row>
    <row r="54" spans="1:18">
      <c r="A54" s="36">
        <v>0</v>
      </c>
      <c r="B54" s="36">
        <v>6</v>
      </c>
      <c r="C54" s="36">
        <v>6</v>
      </c>
      <c r="D54" s="38">
        <v>52273</v>
      </c>
      <c r="E54" s="40" t="s">
        <v>116</v>
      </c>
      <c r="F54" s="82">
        <f>(D54/12)*A54</f>
        <v>0</v>
      </c>
      <c r="G54" s="82">
        <f>((D54)*((1+0.03)^1)/12)*B54</f>
        <v>26920.595000000001</v>
      </c>
      <c r="H54" s="82">
        <f>((D54)*((1+0.03)^2)/12)*C54</f>
        <v>27728.212850000004</v>
      </c>
      <c r="I54" s="70">
        <f t="shared" si="17"/>
        <v>54648.807850000005</v>
      </c>
      <c r="J54" s="58"/>
    </row>
    <row r="55" spans="1:18">
      <c r="A55" s="36">
        <v>0</v>
      </c>
      <c r="B55" s="36">
        <v>6</v>
      </c>
      <c r="C55" s="36">
        <v>6</v>
      </c>
      <c r="D55" s="38">
        <v>52273</v>
      </c>
      <c r="E55" s="40" t="s">
        <v>116</v>
      </c>
      <c r="F55" s="82">
        <v>0</v>
      </c>
      <c r="G55" s="82">
        <f>SUM($G$54:$H$54)/2</f>
        <v>27324.403925000002</v>
      </c>
      <c r="H55" s="82">
        <f>SUM($G$54:$H$54)/2</f>
        <v>27324.403925000002</v>
      </c>
      <c r="I55" s="70">
        <f t="shared" si="17"/>
        <v>54648.807850000005</v>
      </c>
      <c r="J55" s="58"/>
    </row>
    <row r="56" spans="1:18" s="95" customFormat="1">
      <c r="A56" s="44"/>
      <c r="B56" s="44"/>
      <c r="C56" s="44"/>
      <c r="D56" s="46"/>
      <c r="E56" s="45" t="s">
        <v>82</v>
      </c>
      <c r="F56" s="83">
        <f>F54*0.3</f>
        <v>0</v>
      </c>
      <c r="G56" s="83">
        <f>G55*0.3</f>
        <v>8197.3211775</v>
      </c>
      <c r="H56" s="83">
        <f>H55*0.3</f>
        <v>8197.3211775</v>
      </c>
      <c r="I56" s="64">
        <f t="shared" si="17"/>
        <v>16394.642355</v>
      </c>
      <c r="M56" s="135"/>
      <c r="N56" s="136"/>
      <c r="O56" s="136"/>
      <c r="P56" s="136"/>
      <c r="Q56" s="136"/>
      <c r="R56" s="136"/>
    </row>
    <row r="57" spans="1:18">
      <c r="A57" s="36">
        <v>0</v>
      </c>
      <c r="B57" s="36">
        <v>3</v>
      </c>
      <c r="C57" s="36">
        <v>3</v>
      </c>
      <c r="D57" s="38">
        <v>52273</v>
      </c>
      <c r="E57" s="40" t="s">
        <v>117</v>
      </c>
      <c r="F57" s="82">
        <f>(D57/12)*A57</f>
        <v>0</v>
      </c>
      <c r="G57" s="82">
        <f>((D57)*((1+0.03)^1)/12)*B57</f>
        <v>13460.297500000001</v>
      </c>
      <c r="H57" s="82">
        <f>((D57)*((1+0.03)^2)/12)*C57</f>
        <v>13864.106425000002</v>
      </c>
      <c r="I57" s="70">
        <f t="shared" si="17"/>
        <v>27324.403925000002</v>
      </c>
      <c r="J57" s="58"/>
    </row>
    <row r="58" spans="1:18">
      <c r="A58" s="36">
        <v>0</v>
      </c>
      <c r="B58" s="36">
        <v>3</v>
      </c>
      <c r="C58" s="36">
        <v>3</v>
      </c>
      <c r="D58" s="38">
        <v>52273</v>
      </c>
      <c r="E58" s="40" t="s">
        <v>117</v>
      </c>
      <c r="F58" s="82">
        <v>0</v>
      </c>
      <c r="G58" s="82">
        <f>SUM($G$57:$H$57)/2</f>
        <v>13662.201962500001</v>
      </c>
      <c r="H58" s="82">
        <f>SUM($G$57:$H$57)/2</f>
        <v>13662.201962500001</v>
      </c>
      <c r="I58" s="70">
        <f t="shared" si="17"/>
        <v>27324.403925000002</v>
      </c>
      <c r="J58" s="58"/>
    </row>
    <row r="59" spans="1:18">
      <c r="E59" s="45" t="s">
        <v>83</v>
      </c>
      <c r="F59" s="83">
        <f>F57*0.3</f>
        <v>0</v>
      </c>
      <c r="G59" s="83">
        <f>G57*G41</f>
        <v>3795.803895</v>
      </c>
      <c r="H59" s="83">
        <f t="shared" ref="H59" si="22">H57*0.3</f>
        <v>4159.2319275</v>
      </c>
      <c r="I59" s="64">
        <f t="shared" ref="I59" si="23">SUM(F59:H59)</f>
        <v>7955.0358225</v>
      </c>
    </row>
    <row r="60" spans="1:18">
      <c r="E60" s="41" t="s">
        <v>84</v>
      </c>
      <c r="F60" s="82">
        <f>SUM(F59+F56+F53+F50+F47+F44)</f>
        <v>11707.010415999999</v>
      </c>
      <c r="G60" s="82">
        <f>SUM(G59+G56+G53+G50+G47+G44)</f>
        <v>27444.973456524996</v>
      </c>
      <c r="H60" s="82">
        <f>SUM(H59+H56+H53+H50+H47+H44)</f>
        <v>27808.401489024996</v>
      </c>
      <c r="I60" s="70">
        <f>SUM(F60:H60)</f>
        <v>66960.385361549997</v>
      </c>
    </row>
    <row r="61" spans="1:18">
      <c r="E61" s="47" t="s">
        <v>70</v>
      </c>
      <c r="F61" s="83">
        <f>SUM(F58+F55+F52+F49+F46+F43)</f>
        <v>41514.221333333335</v>
      </c>
      <c r="G61" s="83">
        <f t="shared" ref="G61:H61" si="24">SUM(G58+G55+G52+G49+G46+G43)</f>
        <v>95780.394483333323</v>
      </c>
      <c r="H61" s="83">
        <f t="shared" si="24"/>
        <v>95780.394483333323</v>
      </c>
      <c r="I61" s="64">
        <f>SUM(F61:H61)</f>
        <v>233075.01029999997</v>
      </c>
    </row>
    <row r="62" spans="1:18">
      <c r="E62" s="36" t="s">
        <v>69</v>
      </c>
      <c r="F62" s="82">
        <f>SUM(F60:F61)</f>
        <v>53221.231749333332</v>
      </c>
      <c r="G62" s="82">
        <f>SUM(G60:G61)</f>
        <v>123225.36793985832</v>
      </c>
      <c r="H62" s="82">
        <f>SUM(H60:H61)</f>
        <v>123588.79597235832</v>
      </c>
      <c r="I62" s="70">
        <f>SUM(F62:H62)</f>
        <v>300035.39566154999</v>
      </c>
    </row>
    <row r="63" spans="1:18">
      <c r="E63" s="44" t="s">
        <v>73</v>
      </c>
      <c r="F63" s="83"/>
      <c r="G63" s="83"/>
      <c r="H63" s="83"/>
      <c r="I63" s="83"/>
    </row>
    <row r="64" spans="1:18">
      <c r="E64" s="37" t="s">
        <v>74</v>
      </c>
      <c r="F64" s="82">
        <f>'Columbia travel'!H12</f>
        <v>0</v>
      </c>
      <c r="G64" s="82">
        <f>'Columbia travel'!I12</f>
        <v>2000</v>
      </c>
      <c r="H64" s="82">
        <f>'Columbia travel'!J12</f>
        <v>2000</v>
      </c>
      <c r="I64" s="70">
        <f>SUM(F64:H64)</f>
        <v>4000</v>
      </c>
    </row>
    <row r="65" spans="5:9">
      <c r="E65" s="48" t="s">
        <v>71</v>
      </c>
      <c r="F65" s="83">
        <f>'Columbia travel'!H13</f>
        <v>1624</v>
      </c>
      <c r="G65" s="83">
        <f>'Columbia travel'!I13</f>
        <v>0</v>
      </c>
      <c r="H65" s="83">
        <f>'Columbia travel'!J13</f>
        <v>0</v>
      </c>
      <c r="I65" s="64">
        <f>SUM(F65:H65)</f>
        <v>1624</v>
      </c>
    </row>
    <row r="66" spans="5:9">
      <c r="E66" s="36" t="s">
        <v>72</v>
      </c>
      <c r="F66" s="82">
        <f>SUM(F64:F65)</f>
        <v>1624</v>
      </c>
      <c r="G66" s="82">
        <f>SUM(G64:G65)</f>
        <v>2000</v>
      </c>
      <c r="H66" s="82">
        <f>SUM(H64:H65)</f>
        <v>2000</v>
      </c>
      <c r="I66" s="70">
        <f>SUM(F66:H66)</f>
        <v>5624</v>
      </c>
    </row>
    <row r="67" spans="5:9">
      <c r="E67" s="44" t="s">
        <v>75</v>
      </c>
      <c r="F67" s="83"/>
      <c r="G67" s="83"/>
      <c r="H67" s="83"/>
      <c r="I67" s="83"/>
    </row>
    <row r="68" spans="5:9">
      <c r="E68" s="36" t="s">
        <v>85</v>
      </c>
      <c r="F68" s="82">
        <v>0</v>
      </c>
      <c r="G68" s="82">
        <v>10000</v>
      </c>
      <c r="H68" s="82">
        <v>10000</v>
      </c>
      <c r="I68" s="82">
        <f>SUM(F68:H68)</f>
        <v>20000</v>
      </c>
    </row>
    <row r="69" spans="5:9">
      <c r="E69" s="44" t="s">
        <v>86</v>
      </c>
      <c r="F69" s="83">
        <v>0</v>
      </c>
      <c r="G69" s="83"/>
      <c r="H69" s="83"/>
      <c r="I69" s="83">
        <f>SUM(F69:H69)</f>
        <v>0</v>
      </c>
    </row>
    <row r="70" spans="5:9">
      <c r="E70" s="36" t="s">
        <v>87</v>
      </c>
      <c r="F70" s="82">
        <v>0</v>
      </c>
      <c r="G70" s="82">
        <v>4000</v>
      </c>
      <c r="H70" s="82">
        <v>4000</v>
      </c>
      <c r="I70" s="82">
        <f>SUM(F70:H70)</f>
        <v>8000</v>
      </c>
    </row>
    <row r="71" spans="5:9">
      <c r="E71" s="44" t="s">
        <v>88</v>
      </c>
      <c r="F71" s="83">
        <v>0</v>
      </c>
      <c r="G71" s="83">
        <v>2700</v>
      </c>
      <c r="H71" s="83">
        <v>2700</v>
      </c>
      <c r="I71" s="83">
        <f>SUM(F71:H71)</f>
        <v>5400</v>
      </c>
    </row>
    <row r="72" spans="5:9">
      <c r="E72" s="36" t="s">
        <v>89</v>
      </c>
      <c r="F72" s="82">
        <v>1000</v>
      </c>
      <c r="G72" s="82">
        <v>1000</v>
      </c>
      <c r="H72" s="82">
        <v>0</v>
      </c>
      <c r="I72" s="82">
        <f>SUM(F72:H72)</f>
        <v>2000</v>
      </c>
    </row>
    <row r="73" spans="5:9">
      <c r="E73" s="48" t="s">
        <v>97</v>
      </c>
      <c r="F73" s="83"/>
      <c r="G73" s="83"/>
      <c r="H73" s="83"/>
      <c r="I73" s="83"/>
    </row>
    <row r="74" spans="5:9">
      <c r="E74" s="37" t="s">
        <v>91</v>
      </c>
      <c r="F74" s="82"/>
      <c r="G74" s="82">
        <v>48000</v>
      </c>
      <c r="H74" s="82">
        <v>48000</v>
      </c>
      <c r="I74" s="82">
        <f t="shared" ref="I74:I80" si="25">SUM(F74:H74)</f>
        <v>96000</v>
      </c>
    </row>
    <row r="75" spans="5:9">
      <c r="E75" s="48" t="s">
        <v>92</v>
      </c>
      <c r="F75" s="83"/>
      <c r="G75" s="83">
        <v>32000</v>
      </c>
      <c r="H75" s="83">
        <v>32000</v>
      </c>
      <c r="I75" s="83">
        <f t="shared" si="25"/>
        <v>64000</v>
      </c>
    </row>
    <row r="76" spans="5:9">
      <c r="E76" s="48" t="s">
        <v>93</v>
      </c>
      <c r="F76" s="83"/>
      <c r="G76" s="83">
        <v>20000</v>
      </c>
      <c r="H76" s="83">
        <v>20000</v>
      </c>
      <c r="I76" s="83">
        <f t="shared" si="25"/>
        <v>40000</v>
      </c>
    </row>
    <row r="77" spans="5:9">
      <c r="E77" s="37" t="s">
        <v>94</v>
      </c>
      <c r="F77" s="82"/>
      <c r="G77" s="82">
        <v>30000</v>
      </c>
      <c r="H77" s="82">
        <v>30000</v>
      </c>
      <c r="I77" s="82">
        <f t="shared" si="25"/>
        <v>60000</v>
      </c>
    </row>
    <row r="78" spans="5:9">
      <c r="E78" s="37" t="s">
        <v>141</v>
      </c>
      <c r="F78" s="82"/>
      <c r="G78" s="82">
        <v>10000</v>
      </c>
      <c r="H78" s="82">
        <v>10000</v>
      </c>
      <c r="I78" s="82">
        <f t="shared" si="25"/>
        <v>20000</v>
      </c>
    </row>
    <row r="79" spans="5:9">
      <c r="E79" s="48" t="s">
        <v>95</v>
      </c>
      <c r="F79" s="83"/>
      <c r="G79" s="83">
        <v>10000</v>
      </c>
      <c r="H79" s="83">
        <v>10000</v>
      </c>
      <c r="I79" s="83">
        <f t="shared" si="25"/>
        <v>20000</v>
      </c>
    </row>
    <row r="80" spans="5:9">
      <c r="E80" s="37" t="s">
        <v>96</v>
      </c>
      <c r="F80" s="82"/>
      <c r="G80" s="82">
        <v>12500</v>
      </c>
      <c r="H80" s="82">
        <v>12500</v>
      </c>
      <c r="I80" s="82">
        <f t="shared" si="25"/>
        <v>25000</v>
      </c>
    </row>
    <row r="81" spans="1:13">
      <c r="E81" s="48" t="s">
        <v>98</v>
      </c>
      <c r="F81" s="83">
        <f>SUM(F74:F80)</f>
        <v>0</v>
      </c>
      <c r="G81" s="83">
        <f>SUM(G74:G80)</f>
        <v>162500</v>
      </c>
      <c r="H81" s="83">
        <f>SUM(H74:H80)</f>
        <v>162500</v>
      </c>
      <c r="I81" s="83">
        <f>SUM(F81:H81)</f>
        <v>325000</v>
      </c>
    </row>
    <row r="82" spans="1:13">
      <c r="E82" s="36" t="s">
        <v>76</v>
      </c>
      <c r="F82" s="82">
        <f>SUM(F68:F72)+F81</f>
        <v>1000</v>
      </c>
      <c r="G82" s="82">
        <f>SUM(G68:G72)+G81</f>
        <v>180200</v>
      </c>
      <c r="H82" s="82">
        <f>SUM(H68:H72)+H81</f>
        <v>179200</v>
      </c>
      <c r="I82" s="82">
        <f>SUM(F82:H82)</f>
        <v>360400</v>
      </c>
    </row>
    <row r="83" spans="1:13">
      <c r="E83" s="44" t="s">
        <v>90</v>
      </c>
      <c r="F83" s="83">
        <f>SUM(F82+F66+F62)</f>
        <v>55845.231749333332</v>
      </c>
      <c r="G83" s="83">
        <f>SUM(G82+G66+G62)</f>
        <v>305425.36793985835</v>
      </c>
      <c r="H83" s="83">
        <f>SUM(H82+H66+H62)</f>
        <v>304788.79597235832</v>
      </c>
      <c r="I83" s="83">
        <f>SUM(F83:H83)</f>
        <v>666059.39566154999</v>
      </c>
    </row>
    <row r="84" spans="1:13">
      <c r="E84" s="36" t="s">
        <v>99</v>
      </c>
      <c r="F84" s="82">
        <f>F83*0.6</f>
        <v>33507.139049599995</v>
      </c>
      <c r="G84" s="82">
        <f>G83*0.6</f>
        <v>183255.22076391501</v>
      </c>
      <c r="H84" s="82">
        <f>H83*0.6</f>
        <v>182873.27758341498</v>
      </c>
      <c r="I84" s="82">
        <f>SUM(F84:H84)</f>
        <v>399635.63739693002</v>
      </c>
    </row>
    <row r="85" spans="1:13">
      <c r="E85" s="49" t="s">
        <v>62</v>
      </c>
      <c r="F85" s="50">
        <f>SUM(F83:F84)</f>
        <v>89352.37079893332</v>
      </c>
      <c r="G85" s="50">
        <f>SUM(G83:G84)</f>
        <v>488680.58870377333</v>
      </c>
      <c r="H85" s="50">
        <f>SUM(H83:H84)</f>
        <v>487662.0735557733</v>
      </c>
      <c r="I85" s="50">
        <f>SUM(F85:H85)</f>
        <v>1065695.0330584799</v>
      </c>
      <c r="J85" s="107"/>
    </row>
    <row r="86" spans="1:13">
      <c r="E86" s="42"/>
      <c r="F86" s="43"/>
      <c r="G86" s="43"/>
      <c r="H86" s="43"/>
      <c r="I86" s="43"/>
      <c r="K86" s="57"/>
      <c r="L86" s="11"/>
      <c r="M86" s="11"/>
    </row>
    <row r="87" spans="1:13">
      <c r="A87"/>
      <c r="B87"/>
      <c r="C87"/>
      <c r="E87" t="s">
        <v>100</v>
      </c>
      <c r="F87" s="53" t="s">
        <v>59</v>
      </c>
      <c r="G87" s="53" t="s">
        <v>60</v>
      </c>
      <c r="H87" s="53" t="s">
        <v>61</v>
      </c>
      <c r="I87" s="53" t="s">
        <v>62</v>
      </c>
      <c r="K87" s="57"/>
      <c r="L87" s="15"/>
      <c r="M87" s="15"/>
    </row>
    <row r="88" spans="1:13">
      <c r="A88" s="89" t="s">
        <v>59</v>
      </c>
      <c r="B88" s="89" t="s">
        <v>60</v>
      </c>
      <c r="C88" s="89" t="s">
        <v>61</v>
      </c>
      <c r="D88" s="110" t="s">
        <v>119</v>
      </c>
      <c r="E88" s="52" t="s">
        <v>63</v>
      </c>
      <c r="F88" s="52"/>
      <c r="G88" s="52"/>
      <c r="H88" s="52"/>
      <c r="I88" s="44"/>
      <c r="K88" s="39"/>
      <c r="L88" s="14"/>
      <c r="M88" s="14"/>
    </row>
    <row r="89" spans="1:13">
      <c r="A89" s="89">
        <v>2</v>
      </c>
      <c r="B89" s="89">
        <v>2</v>
      </c>
      <c r="C89" s="89">
        <v>1.5</v>
      </c>
      <c r="D89" s="38">
        <v>60000</v>
      </c>
      <c r="E89" s="37" t="s">
        <v>132</v>
      </c>
      <c r="F89" s="78">
        <f>D89/12*A89</f>
        <v>10000</v>
      </c>
      <c r="G89" s="78">
        <f>((D89)*((1+0.05)^1)/12)*B89</f>
        <v>10500</v>
      </c>
      <c r="H89" s="101">
        <f>((D89)*((1+0.05)^2)/12)*C89</f>
        <v>8268.75</v>
      </c>
      <c r="I89" s="77">
        <f t="shared" ref="I89:I102" si="26">SUM(F89:H89)</f>
        <v>28768.75</v>
      </c>
    </row>
    <row r="90" spans="1:13">
      <c r="A90" s="89">
        <v>2</v>
      </c>
      <c r="B90" s="89">
        <v>2</v>
      </c>
      <c r="C90" s="89">
        <v>1.5</v>
      </c>
      <c r="D90" s="38">
        <v>60000</v>
      </c>
      <c r="E90" s="37" t="s">
        <v>132</v>
      </c>
      <c r="F90" s="78">
        <f>SUM($F$89:$H$89)/3</f>
        <v>9589.5833333333339</v>
      </c>
      <c r="G90" s="78">
        <f t="shared" ref="G90:H90" si="27">SUM($F$89:$H$89)/3</f>
        <v>9589.5833333333339</v>
      </c>
      <c r="H90" s="78">
        <f t="shared" si="27"/>
        <v>9589.5833333333339</v>
      </c>
      <c r="I90" s="77">
        <f t="shared" si="26"/>
        <v>28768.75</v>
      </c>
    </row>
    <row r="91" spans="1:13">
      <c r="A91" s="89">
        <v>2</v>
      </c>
      <c r="B91" s="89">
        <v>2</v>
      </c>
      <c r="C91" s="89">
        <v>1</v>
      </c>
      <c r="D91" s="126">
        <v>32000</v>
      </c>
      <c r="E91" s="91" t="s">
        <v>133</v>
      </c>
      <c r="F91" s="80">
        <f t="shared" ref="F91:F95" si="28">D91/12*A91</f>
        <v>5333.333333333333</v>
      </c>
      <c r="G91" s="80">
        <f t="shared" ref="G91:G95" si="29">((D91)*((1+0.05)^1)/12)*B91</f>
        <v>5600</v>
      </c>
      <c r="H91" s="102">
        <f t="shared" ref="H91:H97" si="30">((D91)*((1+0.05)^2)/12)*C91</f>
        <v>2940</v>
      </c>
      <c r="I91" s="79">
        <f t="shared" si="26"/>
        <v>13873.333333333332</v>
      </c>
    </row>
    <row r="92" spans="1:13">
      <c r="A92" s="89">
        <v>2</v>
      </c>
      <c r="B92" s="89">
        <v>2</v>
      </c>
      <c r="C92" s="89">
        <v>1</v>
      </c>
      <c r="D92" s="126">
        <v>32000</v>
      </c>
      <c r="E92" s="91" t="s">
        <v>133</v>
      </c>
      <c r="F92" s="80">
        <f>SUM($F$91:$H$91)/3</f>
        <v>4624.4444444444443</v>
      </c>
      <c r="G92" s="80">
        <f t="shared" ref="G92:H92" si="31">SUM($F$91:$H$91)/3</f>
        <v>4624.4444444444443</v>
      </c>
      <c r="H92" s="80">
        <f t="shared" si="31"/>
        <v>4624.4444444444443</v>
      </c>
      <c r="I92" s="79">
        <f t="shared" si="26"/>
        <v>13873.333333333332</v>
      </c>
    </row>
    <row r="93" spans="1:13">
      <c r="A93" s="89">
        <v>2</v>
      </c>
      <c r="B93" s="89">
        <v>2</v>
      </c>
      <c r="C93" s="89">
        <v>1.5</v>
      </c>
      <c r="D93" s="126">
        <v>32000</v>
      </c>
      <c r="E93" s="54" t="s">
        <v>134</v>
      </c>
      <c r="F93" s="78">
        <f t="shared" si="28"/>
        <v>5333.333333333333</v>
      </c>
      <c r="G93" s="78">
        <f t="shared" si="29"/>
        <v>5600</v>
      </c>
      <c r="H93" s="101">
        <f t="shared" si="30"/>
        <v>4410</v>
      </c>
      <c r="I93" s="77">
        <f t="shared" si="26"/>
        <v>15343.333333333332</v>
      </c>
    </row>
    <row r="94" spans="1:13">
      <c r="A94" s="89">
        <v>2</v>
      </c>
      <c r="B94" s="89">
        <v>2</v>
      </c>
      <c r="C94" s="89">
        <v>1.5</v>
      </c>
      <c r="D94" s="126">
        <v>32000</v>
      </c>
      <c r="E94" s="54" t="s">
        <v>134</v>
      </c>
      <c r="F94" s="78">
        <f>SUM($F$93:$H$93)/3</f>
        <v>5114.4444444444443</v>
      </c>
      <c r="G94" s="78">
        <f t="shared" ref="G94:H94" si="32">SUM($F$93:$H$93)/3</f>
        <v>5114.4444444444443</v>
      </c>
      <c r="H94" s="78">
        <f t="shared" si="32"/>
        <v>5114.4444444444443</v>
      </c>
      <c r="I94" s="77">
        <f t="shared" si="26"/>
        <v>15343.333333333332</v>
      </c>
    </row>
    <row r="95" spans="1:13">
      <c r="A95" s="89">
        <v>2</v>
      </c>
      <c r="B95" s="89">
        <v>2</v>
      </c>
      <c r="C95" s="89">
        <v>1</v>
      </c>
      <c r="D95" s="126">
        <v>32000</v>
      </c>
      <c r="E95" s="91" t="s">
        <v>135</v>
      </c>
      <c r="F95" s="80">
        <f t="shared" si="28"/>
        <v>5333.333333333333</v>
      </c>
      <c r="G95" s="80">
        <f t="shared" si="29"/>
        <v>5600</v>
      </c>
      <c r="H95" s="102">
        <f t="shared" si="30"/>
        <v>2940</v>
      </c>
      <c r="I95" s="79">
        <f t="shared" si="26"/>
        <v>13873.333333333332</v>
      </c>
    </row>
    <row r="96" spans="1:13">
      <c r="A96" s="89">
        <v>2</v>
      </c>
      <c r="B96" s="89">
        <v>2</v>
      </c>
      <c r="C96" s="89">
        <v>1</v>
      </c>
      <c r="D96" s="126">
        <v>32000</v>
      </c>
      <c r="E96" s="91" t="s">
        <v>135</v>
      </c>
      <c r="F96" s="80">
        <f>SUM($F$95:$H$95)/3</f>
        <v>4624.4444444444443</v>
      </c>
      <c r="G96" s="80">
        <f t="shared" ref="G96:H96" si="33">SUM($F$95:$H$95)/3</f>
        <v>4624.4444444444443</v>
      </c>
      <c r="H96" s="80">
        <f t="shared" si="33"/>
        <v>4624.4444444444443</v>
      </c>
      <c r="I96" s="79">
        <f>SUM(F96:H96)</f>
        <v>13873.333333333332</v>
      </c>
    </row>
    <row r="97" spans="1:18">
      <c r="A97"/>
      <c r="B97"/>
      <c r="C97"/>
      <c r="D97" s="20"/>
      <c r="E97" s="48" t="s">
        <v>204</v>
      </c>
      <c r="F97" s="80">
        <v>12000</v>
      </c>
      <c r="G97" s="80">
        <v>12000</v>
      </c>
      <c r="H97" s="102">
        <f t="shared" si="30"/>
        <v>0</v>
      </c>
      <c r="I97" s="79">
        <f t="shared" si="26"/>
        <v>24000</v>
      </c>
    </row>
    <row r="98" spans="1:18">
      <c r="A98"/>
      <c r="B98"/>
      <c r="C98"/>
      <c r="E98" s="36" t="s">
        <v>69</v>
      </c>
      <c r="F98" s="81">
        <f>F90+F92+F94+F96+F97</f>
        <v>35952.916666666672</v>
      </c>
      <c r="G98" s="81">
        <f t="shared" ref="G98:H98" si="34">G90+G92+G94+G96+G97</f>
        <v>35952.916666666672</v>
      </c>
      <c r="H98" s="81">
        <f t="shared" si="34"/>
        <v>23952.916666666668</v>
      </c>
      <c r="I98" s="77">
        <f>SUM(F98:H98)</f>
        <v>95858.750000000015</v>
      </c>
      <c r="K98" s="1"/>
      <c r="L98" s="15"/>
      <c r="M98" s="19"/>
      <c r="N98" s="15"/>
    </row>
    <row r="99" spans="1:18">
      <c r="A99" s="20"/>
      <c r="B99" s="20"/>
      <c r="C99" s="20"/>
      <c r="E99" s="36" t="s">
        <v>72</v>
      </c>
      <c r="F99" s="77">
        <f>'UNAM travel'!F34</f>
        <v>49398</v>
      </c>
      <c r="G99" s="77">
        <f>'UNAM travel'!G34</f>
        <v>25278</v>
      </c>
      <c r="H99" s="77">
        <f>'UNAM travel'!H34</f>
        <v>2730</v>
      </c>
      <c r="I99" s="77">
        <f t="shared" si="26"/>
        <v>77406</v>
      </c>
    </row>
    <row r="100" spans="1:18">
      <c r="A100"/>
      <c r="B100"/>
      <c r="C100"/>
      <c r="E100" s="123" t="s">
        <v>123</v>
      </c>
      <c r="F100" s="77"/>
      <c r="G100" s="77"/>
      <c r="H100" s="77"/>
      <c r="I100" s="77"/>
    </row>
    <row r="101" spans="1:18">
      <c r="A101"/>
      <c r="B101"/>
      <c r="C101"/>
      <c r="E101" s="44" t="s">
        <v>124</v>
      </c>
      <c r="F101" s="80">
        <v>12000</v>
      </c>
      <c r="G101" s="80"/>
      <c r="H101" s="80"/>
      <c r="I101" s="79">
        <f t="shared" si="26"/>
        <v>12000</v>
      </c>
    </row>
    <row r="102" spans="1:18">
      <c r="A102" s="20"/>
      <c r="B102" s="20"/>
      <c r="C102" s="20"/>
      <c r="E102" s="36" t="s">
        <v>218</v>
      </c>
      <c r="F102" s="77">
        <v>6000</v>
      </c>
      <c r="G102" s="77"/>
      <c r="H102" s="77"/>
      <c r="I102" s="77">
        <f t="shared" si="26"/>
        <v>6000</v>
      </c>
    </row>
    <row r="103" spans="1:18" s="61" customFormat="1">
      <c r="A103" s="6"/>
      <c r="B103" s="6"/>
      <c r="C103" s="6"/>
      <c r="D103" s="62"/>
      <c r="E103" s="123" t="s">
        <v>126</v>
      </c>
      <c r="F103" s="124">
        <f>SUM(F100:F102)</f>
        <v>18000</v>
      </c>
      <c r="G103" s="124">
        <f>SUM(G100:G102)</f>
        <v>0</v>
      </c>
      <c r="H103" s="124">
        <f>SUM(H100:H102)</f>
        <v>0</v>
      </c>
      <c r="I103" s="124"/>
      <c r="K103" s="62"/>
    </row>
    <row r="104" spans="1:18" s="61" customFormat="1">
      <c r="A104" s="6"/>
      <c r="B104" s="6"/>
      <c r="C104" s="6"/>
      <c r="D104" s="62"/>
      <c r="E104" s="65" t="s">
        <v>75</v>
      </c>
      <c r="F104" s="125"/>
      <c r="G104" s="125"/>
      <c r="H104" s="125"/>
      <c r="I104" s="125"/>
    </row>
    <row r="105" spans="1:18">
      <c r="A105"/>
      <c r="B105"/>
      <c r="C105"/>
      <c r="E105" s="36" t="s">
        <v>88</v>
      </c>
      <c r="F105" s="77">
        <v>0</v>
      </c>
      <c r="G105" s="77">
        <v>2700</v>
      </c>
      <c r="H105" s="77">
        <v>2700</v>
      </c>
      <c r="I105" s="77">
        <f>SUM(F105:H105)</f>
        <v>5400</v>
      </c>
    </row>
    <row r="106" spans="1:18" s="61" customFormat="1">
      <c r="A106" s="6"/>
      <c r="B106" s="6"/>
      <c r="C106" s="6"/>
      <c r="D106" s="62"/>
      <c r="E106" s="65" t="s">
        <v>97</v>
      </c>
      <c r="F106" s="125"/>
      <c r="G106" s="125"/>
      <c r="H106" s="125"/>
      <c r="I106" s="125"/>
    </row>
    <row r="107" spans="1:18">
      <c r="A107"/>
      <c r="B107"/>
      <c r="C107" s="142"/>
      <c r="E107" s="36" t="s">
        <v>220</v>
      </c>
      <c r="F107" s="77">
        <v>6100</v>
      </c>
      <c r="G107" s="77">
        <f>4000+125+320</f>
        <v>4445</v>
      </c>
      <c r="H107" s="77"/>
      <c r="I107" s="77">
        <f t="shared" ref="I107:I118" si="35">SUM(F107:H107)</f>
        <v>10545</v>
      </c>
    </row>
    <row r="108" spans="1:18" s="32" customFormat="1">
      <c r="A108"/>
      <c r="B108"/>
      <c r="C108"/>
      <c r="D108" s="39"/>
      <c r="E108" s="63" t="s">
        <v>103</v>
      </c>
      <c r="F108" s="79">
        <v>1750</v>
      </c>
      <c r="G108" s="79">
        <v>1750</v>
      </c>
      <c r="H108" s="79"/>
      <c r="I108" s="79">
        <f t="shared" si="35"/>
        <v>3500</v>
      </c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1:18">
      <c r="A109"/>
      <c r="B109"/>
      <c r="C109"/>
      <c r="E109" s="36" t="s">
        <v>219</v>
      </c>
      <c r="F109" s="77">
        <f>2800*2</f>
        <v>5600</v>
      </c>
      <c r="G109" s="77">
        <v>0</v>
      </c>
      <c r="H109" s="77"/>
      <c r="I109" s="77"/>
    </row>
    <row r="110" spans="1:18">
      <c r="A110"/>
      <c r="B110"/>
      <c r="C110" s="142"/>
      <c r="E110" s="63" t="s">
        <v>131</v>
      </c>
      <c r="F110" s="79">
        <f>(6*100)+(19*10)+(7*10)</f>
        <v>860</v>
      </c>
      <c r="G110" s="79"/>
      <c r="H110" s="79"/>
      <c r="I110" s="79"/>
    </row>
    <row r="111" spans="1:18">
      <c r="A111" s="20"/>
      <c r="B111" s="20"/>
      <c r="C111" s="20"/>
      <c r="E111" s="34" t="s">
        <v>203</v>
      </c>
      <c r="F111" s="81">
        <v>2500</v>
      </c>
      <c r="G111" s="81"/>
      <c r="H111" s="81"/>
      <c r="I111" s="77"/>
    </row>
    <row r="112" spans="1:18">
      <c r="A112"/>
      <c r="B112"/>
      <c r="C112"/>
      <c r="E112" s="36" t="s">
        <v>193</v>
      </c>
      <c r="F112" s="77">
        <f>50*45</f>
        <v>2250</v>
      </c>
      <c r="G112" s="77"/>
      <c r="H112" s="77"/>
      <c r="I112" s="77"/>
    </row>
    <row r="113" spans="1:10">
      <c r="A113"/>
      <c r="B113"/>
      <c r="C113"/>
      <c r="E113" s="63" t="s">
        <v>120</v>
      </c>
      <c r="F113" s="79">
        <v>3500</v>
      </c>
      <c r="G113" s="79"/>
      <c r="H113" s="79"/>
      <c r="I113" s="79"/>
    </row>
    <row r="114" spans="1:10">
      <c r="A114" s="20"/>
      <c r="B114" s="20"/>
      <c r="C114" s="20"/>
      <c r="E114" s="36" t="s">
        <v>121</v>
      </c>
      <c r="F114" s="77">
        <v>1600</v>
      </c>
      <c r="G114" s="77"/>
      <c r="H114" s="77"/>
      <c r="I114" s="77">
        <f>SUM(F114:H114)</f>
        <v>1600</v>
      </c>
    </row>
    <row r="115" spans="1:10">
      <c r="A115"/>
      <c r="B115"/>
      <c r="C115"/>
      <c r="E115" s="63" t="s">
        <v>130</v>
      </c>
      <c r="F115" s="79">
        <f>6000</f>
        <v>6000</v>
      </c>
      <c r="G115" s="80"/>
      <c r="H115" s="80"/>
      <c r="I115" s="80"/>
    </row>
    <row r="116" spans="1:10">
      <c r="A116"/>
      <c r="B116"/>
      <c r="C116"/>
      <c r="E116" s="36" t="s">
        <v>129</v>
      </c>
      <c r="F116" s="77">
        <f>32*10</f>
        <v>320</v>
      </c>
      <c r="G116" s="77"/>
      <c r="H116" s="77"/>
      <c r="I116" s="77"/>
    </row>
    <row r="117" spans="1:10" s="61" customFormat="1">
      <c r="A117" s="6"/>
      <c r="B117" s="6"/>
      <c r="C117" s="6"/>
      <c r="D117" s="62"/>
      <c r="E117" s="65" t="s">
        <v>98</v>
      </c>
      <c r="F117" s="125">
        <f>SUM(F107:F116)</f>
        <v>30480</v>
      </c>
      <c r="G117" s="125">
        <f>SUM(G107:G116)</f>
        <v>6195</v>
      </c>
      <c r="H117" s="125">
        <f>SUM(H107:H116)</f>
        <v>0</v>
      </c>
      <c r="I117" s="125">
        <f>SUM(F117:H117)</f>
        <v>36675</v>
      </c>
    </row>
    <row r="118" spans="1:10">
      <c r="A118"/>
      <c r="B118"/>
      <c r="C118"/>
      <c r="E118" s="36" t="s">
        <v>76</v>
      </c>
      <c r="F118" s="77">
        <f>SUM(F105+F117)</f>
        <v>30480</v>
      </c>
      <c r="G118" s="77">
        <f>SUM(G105+G117)</f>
        <v>8895</v>
      </c>
      <c r="H118" s="77">
        <f>SUM(H105+H117)</f>
        <v>2700</v>
      </c>
      <c r="I118" s="77">
        <f t="shared" si="35"/>
        <v>42075</v>
      </c>
    </row>
    <row r="119" spans="1:10" s="61" customFormat="1">
      <c r="A119" s="6"/>
      <c r="B119" s="6"/>
      <c r="C119" s="6"/>
      <c r="D119" s="62"/>
      <c r="E119" s="65" t="s">
        <v>102</v>
      </c>
      <c r="F119" s="65">
        <f>SUM(F118+F103+F99+F98)</f>
        <v>133830.91666666669</v>
      </c>
      <c r="G119" s="65">
        <f>SUM(G118+G103+G99+G98)</f>
        <v>70125.916666666672</v>
      </c>
      <c r="H119" s="65">
        <f>SUM(H118+H103+H99+H98)</f>
        <v>29382.916666666668</v>
      </c>
      <c r="I119" s="65">
        <f>SUM(F119:H119)</f>
        <v>233339.75000000003</v>
      </c>
      <c r="J119" s="143"/>
    </row>
  </sheetData>
  <mergeCells count="2">
    <mergeCell ref="A2:C2"/>
    <mergeCell ref="A40:C40"/>
  </mergeCells>
  <phoneticPr fontId="3" type="noConversion"/>
  <pageMargins left="0.75" right="0.75" top="1" bottom="1" header="0.5" footer="0.5"/>
  <pageSetup scale="38" orientation="portrait" draft="1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N106"/>
  <sheetViews>
    <sheetView workbookViewId="0">
      <pane ySplit="3" topLeftCell="A4" activePane="bottomLeft" state="frozen"/>
      <selection pane="bottomLeft" activeCell="F82" sqref="F82:G82"/>
    </sheetView>
  </sheetViews>
  <sheetFormatPr baseColWidth="10" defaultRowHeight="16" x14ac:dyDescent="0"/>
  <cols>
    <col min="1" max="3" width="4.875" style="35" bestFit="1" customWidth="1"/>
    <col min="4" max="4" width="9.5" style="39" bestFit="1" customWidth="1"/>
    <col min="5" max="5" width="50.125" style="35" bestFit="1" customWidth="1"/>
    <col min="6" max="6" width="12.625" style="35" customWidth="1"/>
    <col min="7" max="7" width="12.125" style="35" customWidth="1"/>
    <col min="8" max="8" width="12.25" style="35" customWidth="1"/>
    <col min="9" max="9" width="13.25" style="35" customWidth="1"/>
    <col min="10" max="11" width="12" style="35" bestFit="1" customWidth="1"/>
    <col min="12" max="12" width="11" style="35" bestFit="1" customWidth="1"/>
    <col min="13" max="13" width="1.875" style="35" bestFit="1" customWidth="1"/>
    <col min="14" max="15" width="3.875" style="35" bestFit="1" customWidth="1"/>
    <col min="16" max="16" width="8.625" style="35" bestFit="1" customWidth="1"/>
    <col min="17" max="17" width="15.75" style="35" bestFit="1" customWidth="1"/>
    <col min="18" max="18" width="7.625" style="35" bestFit="1" customWidth="1"/>
    <col min="19" max="20" width="8.625" style="35" bestFit="1" customWidth="1"/>
    <col min="21" max="16384" width="10.625" style="35"/>
  </cols>
  <sheetData>
    <row r="1" spans="1:690">
      <c r="E1" s="35" t="s">
        <v>57</v>
      </c>
    </row>
    <row r="2" spans="1:690">
      <c r="A2" s="145" t="s">
        <v>108</v>
      </c>
      <c r="B2" s="145"/>
      <c r="C2" s="145"/>
      <c r="D2" s="46"/>
      <c r="E2" s="109"/>
      <c r="F2" s="109" t="s">
        <v>59</v>
      </c>
      <c r="G2" s="109" t="s">
        <v>60</v>
      </c>
      <c r="H2" s="109" t="s">
        <v>61</v>
      </c>
      <c r="I2" s="109" t="s">
        <v>62</v>
      </c>
      <c r="J2" s="53"/>
    </row>
    <row r="3" spans="1:690">
      <c r="A3" s="110" t="s">
        <v>59</v>
      </c>
      <c r="B3" s="110" t="s">
        <v>60</v>
      </c>
      <c r="C3" s="110" t="s">
        <v>61</v>
      </c>
      <c r="D3" s="59" t="s">
        <v>107</v>
      </c>
      <c r="E3" s="110" t="s">
        <v>64</v>
      </c>
      <c r="F3" s="33">
        <v>0.35099999999999998</v>
      </c>
      <c r="G3" s="33">
        <f>F3+0.011</f>
        <v>0.36199999999999999</v>
      </c>
      <c r="H3" s="33">
        <f>G3+0.011</f>
        <v>0.373</v>
      </c>
      <c r="I3" s="36"/>
      <c r="J3" s="53"/>
    </row>
    <row r="4" spans="1:690">
      <c r="A4" s="110">
        <v>0.75</v>
      </c>
      <c r="B4" s="110">
        <v>0.75</v>
      </c>
      <c r="C4" s="110">
        <v>0.75</v>
      </c>
      <c r="D4" s="34">
        <f>181500</f>
        <v>181500</v>
      </c>
      <c r="E4" s="37" t="s">
        <v>109</v>
      </c>
      <c r="F4" s="82">
        <f>(D4/12)*A4</f>
        <v>11343.75</v>
      </c>
      <c r="G4" s="82">
        <f>((D4)*((1+0.05)^1)/12)*B4</f>
        <v>11910.9375</v>
      </c>
      <c r="H4" s="82">
        <f>((D4)*((1+0.05)^2)/12)*C4</f>
        <v>12506.484375</v>
      </c>
      <c r="I4" s="70">
        <f>SUM(F4:H4)</f>
        <v>35761.171875</v>
      </c>
      <c r="J4" s="58"/>
    </row>
    <row r="5" spans="1:690">
      <c r="A5" s="109"/>
      <c r="B5" s="109"/>
      <c r="C5" s="109"/>
      <c r="D5" s="63"/>
      <c r="E5" s="51" t="s">
        <v>65</v>
      </c>
      <c r="F5" s="83">
        <f>F$3*F4</f>
        <v>3981.6562499999995</v>
      </c>
      <c r="G5" s="83">
        <f>G$3*G4</f>
        <v>4311.7593749999996</v>
      </c>
      <c r="H5" s="83">
        <f>H$3*H4</f>
        <v>4664.9186718749997</v>
      </c>
      <c r="I5" s="64">
        <f t="shared" ref="I5:I33" si="0">SUM(F5:H5)</f>
        <v>12958.334296875</v>
      </c>
      <c r="J5" s="58"/>
    </row>
    <row r="6" spans="1:690">
      <c r="A6" s="110">
        <v>3</v>
      </c>
      <c r="B6" s="110">
        <v>3</v>
      </c>
      <c r="C6" s="110">
        <v>3</v>
      </c>
      <c r="D6" s="34">
        <v>73000</v>
      </c>
      <c r="E6" s="37" t="s">
        <v>110</v>
      </c>
      <c r="F6" s="82">
        <f>(D6/12)*A6</f>
        <v>18250</v>
      </c>
      <c r="G6" s="82">
        <f>((D6)*((1+0.05)^1)/12)*B6</f>
        <v>19162.5</v>
      </c>
      <c r="H6" s="82">
        <f>((D6)*((1+0.05)^2)/12)*C6</f>
        <v>20120.625</v>
      </c>
      <c r="I6" s="70">
        <f t="shared" si="0"/>
        <v>57533.125</v>
      </c>
      <c r="J6" s="58"/>
      <c r="K6" s="67"/>
      <c r="L6" s="68"/>
      <c r="M6" s="66"/>
      <c r="N6" s="56"/>
      <c r="O6" s="56"/>
      <c r="P6" s="56"/>
      <c r="Q6" s="56"/>
    </row>
    <row r="7" spans="1:690">
      <c r="A7" s="109"/>
      <c r="B7" s="109"/>
      <c r="C7" s="109"/>
      <c r="D7" s="63"/>
      <c r="E7" s="51" t="s">
        <v>67</v>
      </c>
      <c r="F7" s="83">
        <f>F$3*F6</f>
        <v>6405.75</v>
      </c>
      <c r="G7" s="83">
        <f>G$3*G6</f>
        <v>6936.8249999999998</v>
      </c>
      <c r="H7" s="83">
        <f>H$3*H6</f>
        <v>7504.993125</v>
      </c>
      <c r="I7" s="64">
        <f t="shared" si="0"/>
        <v>20847.568125000002</v>
      </c>
      <c r="J7" s="58"/>
      <c r="K7" s="66"/>
      <c r="L7" s="67"/>
      <c r="M7" s="66"/>
    </row>
    <row r="8" spans="1:690">
      <c r="A8" s="110">
        <v>1</v>
      </c>
      <c r="B8" s="110">
        <v>1</v>
      </c>
      <c r="C8" s="110">
        <v>1</v>
      </c>
      <c r="D8" s="34">
        <f>71000</f>
        <v>71000</v>
      </c>
      <c r="E8" s="37" t="s">
        <v>112</v>
      </c>
      <c r="F8" s="82">
        <f>(D8/12)*A8</f>
        <v>5916.666666666667</v>
      </c>
      <c r="G8" s="82">
        <f>((D8)*((1+0.05)^1)/12)*B8</f>
        <v>6212.5</v>
      </c>
      <c r="H8" s="82">
        <f>((D8)*((1+0.05)^2)/12)*C8</f>
        <v>6523.125</v>
      </c>
      <c r="I8" s="70">
        <f t="shared" si="0"/>
        <v>18652.291666666668</v>
      </c>
      <c r="J8" s="58"/>
      <c r="K8" s="66"/>
      <c r="L8" s="69"/>
      <c r="M8" s="66"/>
    </row>
    <row r="9" spans="1:690">
      <c r="A9" s="109"/>
      <c r="B9" s="109"/>
      <c r="C9" s="109"/>
      <c r="D9" s="63"/>
      <c r="E9" s="51" t="s">
        <v>68</v>
      </c>
      <c r="F9" s="83">
        <f>F$3*F8</f>
        <v>2076.75</v>
      </c>
      <c r="G9" s="83">
        <f>G$3*G8</f>
        <v>2248.9249999999997</v>
      </c>
      <c r="H9" s="83">
        <f>H$3*H8</f>
        <v>2433.1256250000001</v>
      </c>
      <c r="I9" s="64">
        <f t="shared" si="0"/>
        <v>6758.8006249999999</v>
      </c>
      <c r="J9" s="58"/>
      <c r="K9" s="66"/>
      <c r="L9" s="69"/>
      <c r="M9" s="66"/>
    </row>
    <row r="10" spans="1:690">
      <c r="A10" s="110">
        <v>1</v>
      </c>
      <c r="B10" s="110">
        <v>1</v>
      </c>
      <c r="C10" s="110">
        <v>1</v>
      </c>
      <c r="D10" s="34">
        <v>83250</v>
      </c>
      <c r="E10" s="37" t="s">
        <v>111</v>
      </c>
      <c r="F10" s="82">
        <f>(D10/12)*A10</f>
        <v>6937.5</v>
      </c>
      <c r="G10" s="82">
        <f>((D10)*((1+0.05)^1)/12)*B10</f>
        <v>7284.375</v>
      </c>
      <c r="H10" s="82">
        <f>((D10)*((1+0.05)^2)/12)*C10</f>
        <v>7648.59375</v>
      </c>
      <c r="I10" s="70">
        <f t="shared" si="0"/>
        <v>21870.46875</v>
      </c>
      <c r="J10" s="58"/>
      <c r="K10" s="69"/>
      <c r="L10" s="69"/>
      <c r="M10" s="72"/>
      <c r="N10" s="72"/>
      <c r="O10" s="72"/>
      <c r="P10" s="73"/>
      <c r="Q10" s="74"/>
      <c r="R10" s="73"/>
      <c r="S10" s="73"/>
      <c r="T10" s="73"/>
      <c r="U10" s="67"/>
    </row>
    <row r="11" spans="1:690">
      <c r="A11" s="109"/>
      <c r="B11" s="109"/>
      <c r="C11" s="109"/>
      <c r="D11" s="63"/>
      <c r="E11" s="51" t="s">
        <v>105</v>
      </c>
      <c r="F11" s="83">
        <f>F$3*F10</f>
        <v>2435.0625</v>
      </c>
      <c r="G11" s="83">
        <f>G$3*G10</f>
        <v>2636.9437499999999</v>
      </c>
      <c r="H11" s="83">
        <f>H$3*H10</f>
        <v>2852.9254687500002</v>
      </c>
      <c r="I11" s="64">
        <f t="shared" si="0"/>
        <v>7924.9317187500001</v>
      </c>
      <c r="J11" s="58"/>
      <c r="K11" s="69"/>
      <c r="L11" s="69"/>
      <c r="M11" s="72"/>
      <c r="N11" s="72"/>
      <c r="O11" s="72"/>
      <c r="P11" s="73"/>
      <c r="Q11" s="75"/>
      <c r="R11" s="76"/>
      <c r="S11" s="76"/>
      <c r="T11" s="76"/>
      <c r="U11" s="67"/>
    </row>
    <row r="12" spans="1:690">
      <c r="A12" s="110">
        <v>12</v>
      </c>
      <c r="B12" s="110">
        <v>12</v>
      </c>
      <c r="C12" s="110">
        <v>12</v>
      </c>
      <c r="D12" s="34">
        <v>40578</v>
      </c>
      <c r="E12" s="54" t="s">
        <v>113</v>
      </c>
      <c r="F12" s="82">
        <f>(D12/12)*A12</f>
        <v>40578</v>
      </c>
      <c r="G12" s="82">
        <f>((D12)*((1+0.05)^1)/12)*B12</f>
        <v>42606.9</v>
      </c>
      <c r="H12" s="82">
        <f>((D12)*((1+0.05)^2)/12)*C12</f>
        <v>44737.245000000003</v>
      </c>
      <c r="I12" s="70">
        <f>SUM(F12:H12)</f>
        <v>127922.14499999999</v>
      </c>
      <c r="J12" s="58"/>
      <c r="K12" s="69"/>
      <c r="L12" s="69"/>
      <c r="M12" s="66"/>
      <c r="N12" s="66"/>
      <c r="O12" s="66"/>
      <c r="P12" s="66"/>
      <c r="Q12" s="66"/>
      <c r="R12" s="67"/>
      <c r="S12" s="67"/>
      <c r="T12" s="67"/>
      <c r="U12" s="67"/>
    </row>
    <row r="13" spans="1:690">
      <c r="A13" s="109"/>
      <c r="B13" s="109"/>
      <c r="C13" s="109"/>
      <c r="D13" s="63"/>
      <c r="E13" s="51" t="s">
        <v>106</v>
      </c>
      <c r="F13" s="83">
        <f>F$3*F12</f>
        <v>14242.877999999999</v>
      </c>
      <c r="G13" s="83">
        <f>G$3*G12</f>
        <v>15423.6978</v>
      </c>
      <c r="H13" s="83">
        <f>H$3*H12</f>
        <v>16686.992385000001</v>
      </c>
      <c r="I13" s="64">
        <f t="shared" si="0"/>
        <v>46353.568184999996</v>
      </c>
      <c r="J13" s="58"/>
      <c r="K13" s="66"/>
      <c r="L13" s="69"/>
      <c r="M13" s="66"/>
    </row>
    <row r="14" spans="1:690">
      <c r="E14" s="37" t="s">
        <v>66</v>
      </c>
      <c r="F14" s="70">
        <f>SUM(F13+F11+F9+F7+R11+F5)</f>
        <v>29142.096749999997</v>
      </c>
      <c r="G14" s="70">
        <f>SUM(G13+G11+G9+G7+S11+G5)</f>
        <v>31558.150925000002</v>
      </c>
      <c r="H14" s="70">
        <f>SUM(H13+H11+H9+H7+T11+H5)</f>
        <v>34142.955275625005</v>
      </c>
      <c r="I14" s="70">
        <f t="shared" si="0"/>
        <v>94843.202950625011</v>
      </c>
      <c r="J14" s="58"/>
      <c r="K14" s="66"/>
      <c r="L14" s="69"/>
      <c r="M14" s="66"/>
    </row>
    <row r="15" spans="1:690">
      <c r="E15" s="48" t="s">
        <v>70</v>
      </c>
      <c r="F15" s="64">
        <f>SUM(F10+F8+F6+R10+F4+F12)</f>
        <v>83025.916666666672</v>
      </c>
      <c r="G15" s="64">
        <f>SUM(G10+G8+G6+S10+G4+G12)</f>
        <v>87177.212499999994</v>
      </c>
      <c r="H15" s="64">
        <f>SUM(H10+H8+H6+T10+H4+H12)</f>
        <v>91536.073124999995</v>
      </c>
      <c r="I15" s="64">
        <f t="shared" si="0"/>
        <v>261739.20229166665</v>
      </c>
      <c r="J15" s="58"/>
    </row>
    <row r="16" spans="1:690" s="55" customFormat="1">
      <c r="A16" s="35"/>
      <c r="B16" s="35"/>
      <c r="C16" s="35"/>
      <c r="D16" s="39"/>
      <c r="E16" s="60" t="s">
        <v>69</v>
      </c>
      <c r="F16" s="70">
        <f>SUM(F14:F15)</f>
        <v>112168.01341666667</v>
      </c>
      <c r="G16" s="70">
        <f>SUM(G14:G15)</f>
        <v>118735.36342499999</v>
      </c>
      <c r="H16" s="70">
        <f>SUM(H14:H15)</f>
        <v>125679.028400625</v>
      </c>
      <c r="I16" s="70">
        <f t="shared" si="0"/>
        <v>356582.40524229163</v>
      </c>
      <c r="J16" s="58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35"/>
      <c r="FG16" s="35"/>
      <c r="FH16" s="35"/>
      <c r="FI16" s="35"/>
      <c r="FJ16" s="35"/>
      <c r="FK16" s="35"/>
      <c r="FL16" s="35"/>
      <c r="FM16" s="35"/>
      <c r="FN16" s="35"/>
      <c r="FO16" s="35"/>
      <c r="FP16" s="35"/>
      <c r="FQ16" s="35"/>
      <c r="FR16" s="35"/>
      <c r="FS16" s="35"/>
      <c r="FT16" s="35"/>
      <c r="FU16" s="35"/>
      <c r="FV16" s="35"/>
      <c r="FW16" s="35"/>
      <c r="FX16" s="35"/>
      <c r="FY16" s="35"/>
      <c r="FZ16" s="35"/>
      <c r="GA16" s="35"/>
      <c r="GB16" s="35"/>
      <c r="GC16" s="35"/>
      <c r="GD16" s="35"/>
      <c r="GE16" s="35"/>
      <c r="GF16" s="35"/>
      <c r="GG16" s="35"/>
      <c r="GH16" s="35"/>
      <c r="GI16" s="35"/>
      <c r="GJ16" s="35"/>
      <c r="GK16" s="35"/>
      <c r="GL16" s="35"/>
      <c r="GM16" s="35"/>
      <c r="GN16" s="35"/>
      <c r="GO16" s="35"/>
      <c r="GP16" s="35"/>
      <c r="GQ16" s="35"/>
      <c r="GR16" s="35"/>
      <c r="GS16" s="35"/>
      <c r="GT16" s="35"/>
      <c r="GU16" s="35"/>
      <c r="GV16" s="35"/>
      <c r="GW16" s="35"/>
      <c r="GX16" s="35"/>
      <c r="GY16" s="35"/>
      <c r="GZ16" s="35"/>
      <c r="HA16" s="35"/>
      <c r="HB16" s="35"/>
      <c r="HC16" s="35"/>
      <c r="HD16" s="35"/>
      <c r="HE16" s="35"/>
      <c r="HF16" s="35"/>
      <c r="HG16" s="35"/>
      <c r="HH16" s="35"/>
      <c r="HI16" s="35"/>
      <c r="HJ16" s="35"/>
      <c r="HK16" s="35"/>
      <c r="HL16" s="35"/>
      <c r="HM16" s="35"/>
      <c r="HN16" s="35"/>
      <c r="HO16" s="35"/>
      <c r="HP16" s="35"/>
      <c r="HQ16" s="35"/>
      <c r="HR16" s="35"/>
      <c r="HS16" s="35"/>
      <c r="HT16" s="35"/>
      <c r="HU16" s="35"/>
      <c r="HV16" s="35"/>
      <c r="HW16" s="35"/>
      <c r="HX16" s="35"/>
      <c r="HY16" s="35"/>
      <c r="HZ16" s="35"/>
      <c r="IA16" s="35"/>
      <c r="IB16" s="35"/>
      <c r="IC16" s="35"/>
      <c r="ID16" s="35"/>
      <c r="IE16" s="35"/>
      <c r="IF16" s="35"/>
      <c r="IG16" s="35"/>
      <c r="IH16" s="35"/>
      <c r="II16" s="35"/>
      <c r="IJ16" s="35"/>
      <c r="IK16" s="35"/>
      <c r="IL16" s="35"/>
      <c r="IM16" s="35"/>
      <c r="IN16" s="35"/>
      <c r="IO16" s="35"/>
      <c r="IP16" s="35"/>
      <c r="IQ16" s="35"/>
      <c r="IR16" s="35"/>
      <c r="IS16" s="35"/>
      <c r="IT16" s="35"/>
      <c r="IU16" s="35"/>
      <c r="IV16" s="35"/>
      <c r="IW16" s="35"/>
      <c r="IX16" s="35"/>
      <c r="IY16" s="35"/>
      <c r="IZ16" s="35"/>
      <c r="JA16" s="35"/>
      <c r="JB16" s="35"/>
      <c r="JC16" s="35"/>
      <c r="JD16" s="35"/>
      <c r="JE16" s="35"/>
      <c r="JF16" s="35"/>
      <c r="JG16" s="35"/>
      <c r="JH16" s="35"/>
      <c r="JI16" s="35"/>
      <c r="JJ16" s="35"/>
      <c r="JK16" s="35"/>
      <c r="JL16" s="35"/>
      <c r="JM16" s="35"/>
      <c r="JN16" s="35"/>
      <c r="JO16" s="35"/>
      <c r="JP16" s="35"/>
      <c r="JQ16" s="35"/>
      <c r="JR16" s="35"/>
      <c r="JS16" s="35"/>
      <c r="JT16" s="35"/>
      <c r="JU16" s="35"/>
      <c r="JV16" s="35"/>
      <c r="JW16" s="35"/>
      <c r="JX16" s="35"/>
      <c r="JY16" s="35"/>
      <c r="JZ16" s="35"/>
      <c r="KA16" s="35"/>
      <c r="KB16" s="35"/>
      <c r="KC16" s="35"/>
      <c r="KD16" s="35"/>
      <c r="KE16" s="35"/>
      <c r="KF16" s="35"/>
      <c r="KG16" s="35"/>
      <c r="KH16" s="35"/>
      <c r="KI16" s="35"/>
      <c r="KJ16" s="35"/>
      <c r="KK16" s="35"/>
      <c r="KL16" s="35"/>
      <c r="KM16" s="35"/>
      <c r="KN16" s="35"/>
      <c r="KO16" s="35"/>
      <c r="KP16" s="35"/>
      <c r="KQ16" s="35"/>
      <c r="KR16" s="35"/>
      <c r="KS16" s="35"/>
      <c r="KT16" s="35"/>
      <c r="KU16" s="35"/>
      <c r="KV16" s="35"/>
      <c r="KW16" s="35"/>
      <c r="KX16" s="35"/>
      <c r="KY16" s="35"/>
      <c r="KZ16" s="35"/>
      <c r="LA16" s="35"/>
      <c r="LB16" s="35"/>
      <c r="LC16" s="35"/>
      <c r="LD16" s="35"/>
      <c r="LE16" s="35"/>
      <c r="LF16" s="35"/>
      <c r="LG16" s="35"/>
      <c r="LH16" s="35"/>
      <c r="LI16" s="35"/>
      <c r="LJ16" s="35"/>
      <c r="LK16" s="35"/>
      <c r="LL16" s="35"/>
      <c r="LM16" s="35"/>
      <c r="LN16" s="35"/>
      <c r="LO16" s="35"/>
      <c r="LP16" s="35"/>
      <c r="LQ16" s="35"/>
      <c r="LR16" s="35"/>
      <c r="LS16" s="35"/>
      <c r="LT16" s="35"/>
      <c r="LU16" s="35"/>
      <c r="LV16" s="35"/>
      <c r="LW16" s="35"/>
      <c r="LX16" s="35"/>
      <c r="LY16" s="35"/>
      <c r="LZ16" s="35"/>
      <c r="MA16" s="35"/>
      <c r="MB16" s="35"/>
      <c r="MC16" s="35"/>
      <c r="MD16" s="35"/>
      <c r="ME16" s="35"/>
      <c r="MF16" s="35"/>
      <c r="MG16" s="35"/>
      <c r="MH16" s="35"/>
      <c r="MI16" s="35"/>
      <c r="MJ16" s="35"/>
      <c r="MK16" s="35"/>
      <c r="ML16" s="35"/>
      <c r="MM16" s="35"/>
      <c r="MN16" s="35"/>
      <c r="MO16" s="35"/>
      <c r="MP16" s="35"/>
      <c r="MQ16" s="35"/>
      <c r="MR16" s="35"/>
      <c r="MS16" s="35"/>
      <c r="MT16" s="35"/>
      <c r="MU16" s="35"/>
      <c r="MV16" s="35"/>
      <c r="MW16" s="35"/>
      <c r="MX16" s="35"/>
      <c r="MY16" s="35"/>
      <c r="MZ16" s="35"/>
      <c r="NA16" s="35"/>
      <c r="NB16" s="35"/>
      <c r="NC16" s="35"/>
      <c r="ND16" s="35"/>
      <c r="NE16" s="35"/>
      <c r="NF16" s="35"/>
      <c r="NG16" s="35"/>
      <c r="NH16" s="35"/>
      <c r="NI16" s="35"/>
      <c r="NJ16" s="35"/>
      <c r="NK16" s="35"/>
      <c r="NL16" s="35"/>
      <c r="NM16" s="35"/>
      <c r="NN16" s="35"/>
      <c r="NO16" s="35"/>
      <c r="NP16" s="35"/>
      <c r="NQ16" s="35"/>
      <c r="NR16" s="35"/>
      <c r="NS16" s="35"/>
      <c r="NT16" s="35"/>
      <c r="NU16" s="35"/>
      <c r="NV16" s="35"/>
      <c r="NW16" s="35"/>
      <c r="NX16" s="35"/>
      <c r="NY16" s="35"/>
      <c r="NZ16" s="35"/>
      <c r="OA16" s="35"/>
      <c r="OB16" s="35"/>
      <c r="OC16" s="35"/>
      <c r="OD16" s="35"/>
      <c r="OE16" s="35"/>
      <c r="OF16" s="35"/>
      <c r="OG16" s="35"/>
      <c r="OH16" s="35"/>
      <c r="OI16" s="35"/>
      <c r="OJ16" s="35"/>
      <c r="OK16" s="35"/>
      <c r="OL16" s="35"/>
      <c r="OM16" s="35"/>
      <c r="ON16" s="35"/>
      <c r="OO16" s="35"/>
      <c r="OP16" s="35"/>
      <c r="OQ16" s="35"/>
      <c r="OR16" s="35"/>
      <c r="OS16" s="35"/>
      <c r="OT16" s="35"/>
      <c r="OU16" s="35"/>
      <c r="OV16" s="35"/>
      <c r="OW16" s="35"/>
      <c r="OX16" s="35"/>
      <c r="OY16" s="35"/>
      <c r="OZ16" s="35"/>
      <c r="PA16" s="35"/>
      <c r="PB16" s="35"/>
      <c r="PC16" s="35"/>
      <c r="PD16" s="35"/>
      <c r="PE16" s="35"/>
      <c r="PF16" s="35"/>
      <c r="PG16" s="35"/>
      <c r="PH16" s="35"/>
      <c r="PI16" s="35"/>
      <c r="PJ16" s="35"/>
      <c r="PK16" s="35"/>
      <c r="PL16" s="35"/>
      <c r="PM16" s="35"/>
      <c r="PN16" s="35"/>
      <c r="PO16" s="35"/>
      <c r="PP16" s="35"/>
      <c r="PQ16" s="35"/>
      <c r="PR16" s="35"/>
      <c r="PS16" s="35"/>
      <c r="PT16" s="35"/>
      <c r="PU16" s="35"/>
      <c r="PV16" s="35"/>
      <c r="PW16" s="35"/>
      <c r="PX16" s="35"/>
      <c r="PY16" s="35"/>
      <c r="PZ16" s="35"/>
      <c r="QA16" s="35"/>
      <c r="QB16" s="35"/>
      <c r="QC16" s="35"/>
      <c r="QD16" s="35"/>
      <c r="QE16" s="35"/>
      <c r="QF16" s="35"/>
      <c r="QG16" s="35"/>
      <c r="QH16" s="35"/>
      <c r="QI16" s="35"/>
      <c r="QJ16" s="35"/>
      <c r="QK16" s="35"/>
      <c r="QL16" s="35"/>
      <c r="QM16" s="35"/>
      <c r="QN16" s="35"/>
      <c r="QO16" s="35"/>
      <c r="QP16" s="35"/>
      <c r="QQ16" s="35"/>
      <c r="QR16" s="35"/>
      <c r="QS16" s="35"/>
      <c r="QT16" s="35"/>
      <c r="QU16" s="35"/>
      <c r="QV16" s="35"/>
      <c r="QW16" s="35"/>
      <c r="QX16" s="35"/>
      <c r="QY16" s="35"/>
      <c r="QZ16" s="35"/>
      <c r="RA16" s="35"/>
      <c r="RB16" s="35"/>
      <c r="RC16" s="35"/>
      <c r="RD16" s="35"/>
      <c r="RE16" s="35"/>
      <c r="RF16" s="35"/>
      <c r="RG16" s="35"/>
      <c r="RH16" s="35"/>
      <c r="RI16" s="35"/>
      <c r="RJ16" s="35"/>
      <c r="RK16" s="35"/>
      <c r="RL16" s="35"/>
      <c r="RM16" s="35"/>
      <c r="RN16" s="35"/>
      <c r="RO16" s="35"/>
      <c r="RP16" s="35"/>
      <c r="RQ16" s="35"/>
      <c r="RR16" s="35"/>
      <c r="RS16" s="35"/>
      <c r="RT16" s="35"/>
      <c r="RU16" s="35"/>
      <c r="RV16" s="35"/>
      <c r="RW16" s="35"/>
      <c r="RX16" s="35"/>
      <c r="RY16" s="35"/>
      <c r="RZ16" s="35"/>
      <c r="SA16" s="35"/>
      <c r="SB16" s="35"/>
      <c r="SC16" s="35"/>
      <c r="SD16" s="35"/>
      <c r="SE16" s="35"/>
      <c r="SF16" s="35"/>
      <c r="SG16" s="35"/>
      <c r="SH16" s="35"/>
      <c r="SI16" s="35"/>
      <c r="SJ16" s="35"/>
      <c r="SK16" s="35"/>
      <c r="SL16" s="35"/>
      <c r="SM16" s="35"/>
      <c r="SN16" s="35"/>
      <c r="SO16" s="35"/>
      <c r="SP16" s="35"/>
      <c r="SQ16" s="35"/>
      <c r="SR16" s="35"/>
      <c r="SS16" s="35"/>
      <c r="ST16" s="35"/>
      <c r="SU16" s="35"/>
      <c r="SV16" s="35"/>
      <c r="SW16" s="35"/>
      <c r="SX16" s="35"/>
      <c r="SY16" s="35"/>
      <c r="SZ16" s="35"/>
      <c r="TA16" s="35"/>
      <c r="TB16" s="35"/>
      <c r="TC16" s="35"/>
      <c r="TD16" s="35"/>
      <c r="TE16" s="35"/>
      <c r="TF16" s="35"/>
      <c r="TG16" s="35"/>
      <c r="TH16" s="35"/>
      <c r="TI16" s="35"/>
      <c r="TJ16" s="35"/>
      <c r="TK16" s="35"/>
      <c r="TL16" s="35"/>
      <c r="TM16" s="35"/>
      <c r="TN16" s="35"/>
      <c r="TO16" s="35"/>
      <c r="TP16" s="35"/>
      <c r="TQ16" s="35"/>
      <c r="TR16" s="35"/>
      <c r="TS16" s="35"/>
      <c r="TT16" s="35"/>
      <c r="TU16" s="35"/>
      <c r="TV16" s="35"/>
      <c r="TW16" s="35"/>
      <c r="TX16" s="35"/>
      <c r="TY16" s="35"/>
      <c r="TZ16" s="35"/>
      <c r="UA16" s="35"/>
      <c r="UB16" s="35"/>
      <c r="UC16" s="35"/>
      <c r="UD16" s="35"/>
      <c r="UE16" s="35"/>
      <c r="UF16" s="35"/>
      <c r="UG16" s="35"/>
      <c r="UH16" s="35"/>
      <c r="UI16" s="35"/>
      <c r="UJ16" s="35"/>
      <c r="UK16" s="35"/>
      <c r="UL16" s="35"/>
      <c r="UM16" s="35"/>
      <c r="UN16" s="35"/>
      <c r="UO16" s="35"/>
      <c r="UP16" s="35"/>
      <c r="UQ16" s="35"/>
      <c r="UR16" s="35"/>
      <c r="US16" s="35"/>
      <c r="UT16" s="35"/>
      <c r="UU16" s="35"/>
      <c r="UV16" s="35"/>
      <c r="UW16" s="35"/>
      <c r="UX16" s="35"/>
      <c r="UY16" s="35"/>
      <c r="UZ16" s="35"/>
      <c r="VA16" s="35"/>
      <c r="VB16" s="35"/>
      <c r="VC16" s="35"/>
      <c r="VD16" s="35"/>
      <c r="VE16" s="35"/>
      <c r="VF16" s="35"/>
      <c r="VG16" s="35"/>
      <c r="VH16" s="35"/>
      <c r="VI16" s="35"/>
      <c r="VJ16" s="35"/>
      <c r="VK16" s="35"/>
      <c r="VL16" s="35"/>
      <c r="VM16" s="35"/>
      <c r="VN16" s="35"/>
      <c r="VO16" s="35"/>
      <c r="VP16" s="35"/>
      <c r="VQ16" s="35"/>
      <c r="VR16" s="35"/>
      <c r="VS16" s="35"/>
      <c r="VT16" s="35"/>
      <c r="VU16" s="35"/>
      <c r="VV16" s="35"/>
      <c r="VW16" s="35"/>
      <c r="VX16" s="35"/>
      <c r="VY16" s="35"/>
      <c r="VZ16" s="35"/>
      <c r="WA16" s="35"/>
      <c r="WB16" s="35"/>
      <c r="WC16" s="35"/>
      <c r="WD16" s="35"/>
      <c r="WE16" s="35"/>
      <c r="WF16" s="35"/>
      <c r="WG16" s="35"/>
      <c r="WH16" s="35"/>
      <c r="WI16" s="35"/>
      <c r="WJ16" s="35"/>
      <c r="WK16" s="35"/>
      <c r="WL16" s="35"/>
      <c r="WM16" s="35"/>
      <c r="WN16" s="35"/>
      <c r="WO16" s="35"/>
      <c r="WP16" s="35"/>
      <c r="WQ16" s="35"/>
      <c r="WR16" s="35"/>
      <c r="WS16" s="35"/>
      <c r="WT16" s="35"/>
      <c r="WU16" s="35"/>
      <c r="WV16" s="35"/>
      <c r="WW16" s="35"/>
      <c r="WX16" s="35"/>
      <c r="WY16" s="35"/>
      <c r="WZ16" s="35"/>
      <c r="XA16" s="35"/>
      <c r="XB16" s="35"/>
      <c r="XC16" s="35"/>
      <c r="XD16" s="35"/>
      <c r="XE16" s="35"/>
      <c r="XF16" s="35"/>
      <c r="XG16" s="35"/>
      <c r="XH16" s="35"/>
      <c r="XI16" s="35"/>
      <c r="XJ16" s="35"/>
      <c r="XK16" s="35"/>
      <c r="XL16" s="35"/>
      <c r="XM16" s="35"/>
      <c r="XN16" s="35"/>
      <c r="XO16" s="35"/>
      <c r="XP16" s="35"/>
      <c r="XQ16" s="35"/>
      <c r="XR16" s="35"/>
      <c r="XS16" s="35"/>
      <c r="XT16" s="35"/>
      <c r="XU16" s="35"/>
      <c r="XV16" s="35"/>
      <c r="XW16" s="35"/>
      <c r="XX16" s="35"/>
      <c r="XY16" s="35"/>
      <c r="XZ16" s="35"/>
      <c r="YA16" s="35"/>
      <c r="YB16" s="35"/>
      <c r="YC16" s="35"/>
      <c r="YD16" s="35"/>
      <c r="YE16" s="35"/>
      <c r="YF16" s="35"/>
      <c r="YG16" s="35"/>
      <c r="YH16" s="35"/>
      <c r="YI16" s="35"/>
      <c r="YJ16" s="35"/>
      <c r="YK16" s="35"/>
      <c r="YL16" s="35"/>
      <c r="YM16" s="35"/>
      <c r="YN16" s="35"/>
      <c r="YO16" s="35"/>
      <c r="YP16" s="35"/>
      <c r="YQ16" s="35"/>
      <c r="YR16" s="35"/>
      <c r="YS16" s="35"/>
      <c r="YT16" s="35"/>
      <c r="YU16" s="35"/>
      <c r="YV16" s="35"/>
      <c r="YW16" s="35"/>
      <c r="YX16" s="35"/>
      <c r="YY16" s="35"/>
      <c r="YZ16" s="35"/>
      <c r="ZA16" s="35"/>
      <c r="ZB16" s="35"/>
      <c r="ZC16" s="35"/>
      <c r="ZD16" s="35"/>
      <c r="ZE16" s="35"/>
      <c r="ZF16" s="35"/>
      <c r="ZG16" s="35"/>
      <c r="ZH16" s="35"/>
      <c r="ZI16" s="35"/>
      <c r="ZJ16" s="35"/>
      <c r="ZK16" s="35"/>
      <c r="ZL16" s="35"/>
      <c r="ZM16" s="35"/>
      <c r="ZN16" s="35"/>
    </row>
    <row r="17" spans="1:690">
      <c r="E17" s="108" t="s">
        <v>73</v>
      </c>
      <c r="F17" s="64"/>
      <c r="G17" s="64"/>
      <c r="H17" s="64"/>
      <c r="I17" s="64"/>
      <c r="J17" s="58"/>
    </row>
    <row r="18" spans="1:690">
      <c r="E18" s="37" t="s">
        <v>74</v>
      </c>
      <c r="F18" s="70">
        <v>6000</v>
      </c>
      <c r="G18" s="70">
        <v>6000</v>
      </c>
      <c r="H18" s="70">
        <v>6000</v>
      </c>
      <c r="I18" s="70">
        <f t="shared" si="0"/>
        <v>18000</v>
      </c>
      <c r="J18" s="58"/>
    </row>
    <row r="19" spans="1:690">
      <c r="E19" s="48" t="s">
        <v>71</v>
      </c>
      <c r="F19" s="83">
        <v>10000</v>
      </c>
      <c r="G19" s="83">
        <v>10000</v>
      </c>
      <c r="H19" s="83">
        <v>10000</v>
      </c>
      <c r="I19" s="64">
        <f t="shared" si="0"/>
        <v>30000</v>
      </c>
    </row>
    <row r="20" spans="1:690" s="55" customFormat="1">
      <c r="A20" s="35"/>
      <c r="B20" s="35"/>
      <c r="C20" s="35"/>
      <c r="D20" s="39"/>
      <c r="E20" s="36" t="s">
        <v>72</v>
      </c>
      <c r="F20" s="84">
        <f>SUM(F18:F19)</f>
        <v>16000</v>
      </c>
      <c r="G20" s="84">
        <f>SUM(G18:G19)</f>
        <v>16000</v>
      </c>
      <c r="H20" s="84">
        <f>SUM(H18:H19)</f>
        <v>16000</v>
      </c>
      <c r="I20" s="70">
        <f t="shared" si="0"/>
        <v>48000</v>
      </c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/>
      <c r="FQ20" s="35"/>
      <c r="FR20" s="35"/>
      <c r="FS20" s="35"/>
      <c r="FT20" s="35"/>
      <c r="FU20" s="35"/>
      <c r="FV20" s="35"/>
      <c r="FW20" s="35"/>
      <c r="FX20" s="35"/>
      <c r="FY20" s="35"/>
      <c r="FZ20" s="35"/>
      <c r="GA20" s="35"/>
      <c r="GB20" s="35"/>
      <c r="GC20" s="35"/>
      <c r="GD20" s="35"/>
      <c r="GE20" s="35"/>
      <c r="GF20" s="35"/>
      <c r="GG20" s="35"/>
      <c r="GH20" s="35"/>
      <c r="GI20" s="35"/>
      <c r="GJ20" s="35"/>
      <c r="GK20" s="35"/>
      <c r="GL20" s="35"/>
      <c r="GM20" s="35"/>
      <c r="GN20" s="35"/>
      <c r="GO20" s="35"/>
      <c r="GP20" s="35"/>
      <c r="GQ20" s="35"/>
      <c r="GR20" s="35"/>
      <c r="GS20" s="35"/>
      <c r="GT20" s="35"/>
      <c r="GU20" s="35"/>
      <c r="GV20" s="35"/>
      <c r="GW20" s="35"/>
      <c r="GX20" s="35"/>
      <c r="GY20" s="35"/>
      <c r="GZ20" s="35"/>
      <c r="HA20" s="35"/>
      <c r="HB20" s="35"/>
      <c r="HC20" s="35"/>
      <c r="HD20" s="35"/>
      <c r="HE20" s="35"/>
      <c r="HF20" s="35"/>
      <c r="HG20" s="35"/>
      <c r="HH20" s="35"/>
      <c r="HI20" s="35"/>
      <c r="HJ20" s="35"/>
      <c r="HK20" s="35"/>
      <c r="HL20" s="35"/>
      <c r="HM20" s="35"/>
      <c r="HN20" s="35"/>
      <c r="HO20" s="35"/>
      <c r="HP20" s="35"/>
      <c r="HQ20" s="35"/>
      <c r="HR20" s="35"/>
      <c r="HS20" s="35"/>
      <c r="HT20" s="35"/>
      <c r="HU20" s="35"/>
      <c r="HV20" s="35"/>
      <c r="HW20" s="35"/>
      <c r="HX20" s="35"/>
      <c r="HY20" s="35"/>
      <c r="HZ20" s="35"/>
      <c r="IA20" s="35"/>
      <c r="IB20" s="35"/>
      <c r="IC20" s="35"/>
      <c r="ID20" s="35"/>
      <c r="IE20" s="35"/>
      <c r="IF20" s="35"/>
      <c r="IG20" s="35"/>
      <c r="IH20" s="35"/>
      <c r="II20" s="35"/>
      <c r="IJ20" s="35"/>
      <c r="IK20" s="35"/>
      <c r="IL20" s="35"/>
      <c r="IM20" s="35"/>
      <c r="IN20" s="35"/>
      <c r="IO20" s="35"/>
      <c r="IP20" s="35"/>
      <c r="IQ20" s="35"/>
      <c r="IR20" s="35"/>
      <c r="IS20" s="35"/>
      <c r="IT20" s="35"/>
      <c r="IU20" s="35"/>
      <c r="IV20" s="35"/>
      <c r="IW20" s="35"/>
      <c r="IX20" s="35"/>
      <c r="IY20" s="35"/>
      <c r="IZ20" s="35"/>
      <c r="JA20" s="35"/>
      <c r="JB20" s="35"/>
      <c r="JC20" s="35"/>
      <c r="JD20" s="35"/>
      <c r="JE20" s="35"/>
      <c r="JF20" s="35"/>
      <c r="JG20" s="35"/>
      <c r="JH20" s="35"/>
      <c r="JI20" s="35"/>
      <c r="JJ20" s="35"/>
      <c r="JK20" s="35"/>
      <c r="JL20" s="35"/>
      <c r="JM20" s="35"/>
      <c r="JN20" s="35"/>
      <c r="JO20" s="35"/>
      <c r="JP20" s="35"/>
      <c r="JQ20" s="35"/>
      <c r="JR20" s="35"/>
      <c r="JS20" s="35"/>
      <c r="JT20" s="35"/>
      <c r="JU20" s="35"/>
      <c r="JV20" s="35"/>
      <c r="JW20" s="35"/>
      <c r="JX20" s="35"/>
      <c r="JY20" s="35"/>
      <c r="JZ20" s="35"/>
      <c r="KA20" s="35"/>
      <c r="KB20" s="35"/>
      <c r="KC20" s="35"/>
      <c r="KD20" s="35"/>
      <c r="KE20" s="35"/>
      <c r="KF20" s="35"/>
      <c r="KG20" s="35"/>
      <c r="KH20" s="35"/>
      <c r="KI20" s="35"/>
      <c r="KJ20" s="35"/>
      <c r="KK20" s="35"/>
      <c r="KL20" s="35"/>
      <c r="KM20" s="35"/>
      <c r="KN20" s="35"/>
      <c r="KO20" s="35"/>
      <c r="KP20" s="35"/>
      <c r="KQ20" s="35"/>
      <c r="KR20" s="35"/>
      <c r="KS20" s="35"/>
      <c r="KT20" s="35"/>
      <c r="KU20" s="35"/>
      <c r="KV20" s="35"/>
      <c r="KW20" s="35"/>
      <c r="KX20" s="35"/>
      <c r="KY20" s="35"/>
      <c r="KZ20" s="35"/>
      <c r="LA20" s="35"/>
      <c r="LB20" s="35"/>
      <c r="LC20" s="35"/>
      <c r="LD20" s="35"/>
      <c r="LE20" s="35"/>
      <c r="LF20" s="35"/>
      <c r="LG20" s="35"/>
      <c r="LH20" s="35"/>
      <c r="LI20" s="35"/>
      <c r="LJ20" s="35"/>
      <c r="LK20" s="35"/>
      <c r="LL20" s="35"/>
      <c r="LM20" s="35"/>
      <c r="LN20" s="35"/>
      <c r="LO20" s="35"/>
      <c r="LP20" s="35"/>
      <c r="LQ20" s="35"/>
      <c r="LR20" s="35"/>
      <c r="LS20" s="35"/>
      <c r="LT20" s="35"/>
      <c r="LU20" s="35"/>
      <c r="LV20" s="35"/>
      <c r="LW20" s="35"/>
      <c r="LX20" s="35"/>
      <c r="LY20" s="35"/>
      <c r="LZ20" s="35"/>
      <c r="MA20" s="35"/>
      <c r="MB20" s="35"/>
      <c r="MC20" s="35"/>
      <c r="MD20" s="35"/>
      <c r="ME20" s="35"/>
      <c r="MF20" s="35"/>
      <c r="MG20" s="35"/>
      <c r="MH20" s="35"/>
      <c r="MI20" s="35"/>
      <c r="MJ20" s="35"/>
      <c r="MK20" s="35"/>
      <c r="ML20" s="35"/>
      <c r="MM20" s="35"/>
      <c r="MN20" s="35"/>
      <c r="MO20" s="35"/>
      <c r="MP20" s="35"/>
      <c r="MQ20" s="35"/>
      <c r="MR20" s="35"/>
      <c r="MS20" s="35"/>
      <c r="MT20" s="35"/>
      <c r="MU20" s="35"/>
      <c r="MV20" s="35"/>
      <c r="MW20" s="35"/>
      <c r="MX20" s="35"/>
      <c r="MY20" s="35"/>
      <c r="MZ20" s="35"/>
      <c r="NA20" s="35"/>
      <c r="NB20" s="35"/>
      <c r="NC20" s="35"/>
      <c r="ND20" s="35"/>
      <c r="NE20" s="35"/>
      <c r="NF20" s="35"/>
      <c r="NG20" s="35"/>
      <c r="NH20" s="35"/>
      <c r="NI20" s="35"/>
      <c r="NJ20" s="35"/>
      <c r="NK20" s="35"/>
      <c r="NL20" s="35"/>
      <c r="NM20" s="35"/>
      <c r="NN20" s="35"/>
      <c r="NO20" s="35"/>
      <c r="NP20" s="35"/>
      <c r="NQ20" s="35"/>
      <c r="NR20" s="35"/>
      <c r="NS20" s="35"/>
      <c r="NT20" s="35"/>
      <c r="NU20" s="35"/>
      <c r="NV20" s="35"/>
      <c r="NW20" s="35"/>
      <c r="NX20" s="35"/>
      <c r="NY20" s="35"/>
      <c r="NZ20" s="35"/>
      <c r="OA20" s="35"/>
      <c r="OB20" s="35"/>
      <c r="OC20" s="35"/>
      <c r="OD20" s="35"/>
      <c r="OE20" s="35"/>
      <c r="OF20" s="35"/>
      <c r="OG20" s="35"/>
      <c r="OH20" s="35"/>
      <c r="OI20" s="35"/>
      <c r="OJ20" s="35"/>
      <c r="OK20" s="35"/>
      <c r="OL20" s="35"/>
      <c r="OM20" s="35"/>
      <c r="ON20" s="35"/>
      <c r="OO20" s="35"/>
      <c r="OP20" s="35"/>
      <c r="OQ20" s="35"/>
      <c r="OR20" s="35"/>
      <c r="OS20" s="35"/>
      <c r="OT20" s="35"/>
      <c r="OU20" s="35"/>
      <c r="OV20" s="35"/>
      <c r="OW20" s="35"/>
      <c r="OX20" s="35"/>
      <c r="OY20" s="35"/>
      <c r="OZ20" s="35"/>
      <c r="PA20" s="35"/>
      <c r="PB20" s="35"/>
      <c r="PC20" s="35"/>
      <c r="PD20" s="35"/>
      <c r="PE20" s="35"/>
      <c r="PF20" s="35"/>
      <c r="PG20" s="35"/>
      <c r="PH20" s="35"/>
      <c r="PI20" s="35"/>
      <c r="PJ20" s="35"/>
      <c r="PK20" s="35"/>
      <c r="PL20" s="35"/>
      <c r="PM20" s="35"/>
      <c r="PN20" s="35"/>
      <c r="PO20" s="35"/>
      <c r="PP20" s="35"/>
      <c r="PQ20" s="35"/>
      <c r="PR20" s="35"/>
      <c r="PS20" s="35"/>
      <c r="PT20" s="35"/>
      <c r="PU20" s="35"/>
      <c r="PV20" s="35"/>
      <c r="PW20" s="35"/>
      <c r="PX20" s="35"/>
      <c r="PY20" s="35"/>
      <c r="PZ20" s="35"/>
      <c r="QA20" s="35"/>
      <c r="QB20" s="35"/>
      <c r="QC20" s="35"/>
      <c r="QD20" s="35"/>
      <c r="QE20" s="35"/>
      <c r="QF20" s="35"/>
      <c r="QG20" s="35"/>
      <c r="QH20" s="35"/>
      <c r="QI20" s="35"/>
      <c r="QJ20" s="35"/>
      <c r="QK20" s="35"/>
      <c r="QL20" s="35"/>
      <c r="QM20" s="35"/>
      <c r="QN20" s="35"/>
      <c r="QO20" s="35"/>
      <c r="QP20" s="35"/>
      <c r="QQ20" s="35"/>
      <c r="QR20" s="35"/>
      <c r="QS20" s="35"/>
      <c r="QT20" s="35"/>
      <c r="QU20" s="35"/>
      <c r="QV20" s="35"/>
      <c r="QW20" s="35"/>
      <c r="QX20" s="35"/>
      <c r="QY20" s="35"/>
      <c r="QZ20" s="35"/>
      <c r="RA20" s="35"/>
      <c r="RB20" s="35"/>
      <c r="RC20" s="35"/>
      <c r="RD20" s="35"/>
      <c r="RE20" s="35"/>
      <c r="RF20" s="35"/>
      <c r="RG20" s="35"/>
      <c r="RH20" s="35"/>
      <c r="RI20" s="35"/>
      <c r="RJ20" s="35"/>
      <c r="RK20" s="35"/>
      <c r="RL20" s="35"/>
      <c r="RM20" s="35"/>
      <c r="RN20" s="35"/>
      <c r="RO20" s="35"/>
      <c r="RP20" s="35"/>
      <c r="RQ20" s="35"/>
      <c r="RR20" s="35"/>
      <c r="RS20" s="35"/>
      <c r="RT20" s="35"/>
      <c r="RU20" s="35"/>
      <c r="RV20" s="35"/>
      <c r="RW20" s="35"/>
      <c r="RX20" s="35"/>
      <c r="RY20" s="35"/>
      <c r="RZ20" s="35"/>
      <c r="SA20" s="35"/>
      <c r="SB20" s="35"/>
      <c r="SC20" s="35"/>
      <c r="SD20" s="35"/>
      <c r="SE20" s="35"/>
      <c r="SF20" s="35"/>
      <c r="SG20" s="35"/>
      <c r="SH20" s="35"/>
      <c r="SI20" s="35"/>
      <c r="SJ20" s="35"/>
      <c r="SK20" s="35"/>
      <c r="SL20" s="35"/>
      <c r="SM20" s="35"/>
      <c r="SN20" s="35"/>
      <c r="SO20" s="35"/>
      <c r="SP20" s="35"/>
      <c r="SQ20" s="35"/>
      <c r="SR20" s="35"/>
      <c r="SS20" s="35"/>
      <c r="ST20" s="35"/>
      <c r="SU20" s="35"/>
      <c r="SV20" s="35"/>
      <c r="SW20" s="35"/>
      <c r="SX20" s="35"/>
      <c r="SY20" s="35"/>
      <c r="SZ20" s="35"/>
      <c r="TA20" s="35"/>
      <c r="TB20" s="35"/>
      <c r="TC20" s="35"/>
      <c r="TD20" s="35"/>
      <c r="TE20" s="35"/>
      <c r="TF20" s="35"/>
      <c r="TG20" s="35"/>
      <c r="TH20" s="35"/>
      <c r="TI20" s="35"/>
      <c r="TJ20" s="35"/>
      <c r="TK20" s="35"/>
      <c r="TL20" s="35"/>
      <c r="TM20" s="35"/>
      <c r="TN20" s="35"/>
      <c r="TO20" s="35"/>
      <c r="TP20" s="35"/>
      <c r="TQ20" s="35"/>
      <c r="TR20" s="35"/>
      <c r="TS20" s="35"/>
      <c r="TT20" s="35"/>
      <c r="TU20" s="35"/>
      <c r="TV20" s="35"/>
      <c r="TW20" s="35"/>
      <c r="TX20" s="35"/>
      <c r="TY20" s="35"/>
      <c r="TZ20" s="35"/>
      <c r="UA20" s="35"/>
      <c r="UB20" s="35"/>
      <c r="UC20" s="35"/>
      <c r="UD20" s="35"/>
      <c r="UE20" s="35"/>
      <c r="UF20" s="35"/>
      <c r="UG20" s="35"/>
      <c r="UH20" s="35"/>
      <c r="UI20" s="35"/>
      <c r="UJ20" s="35"/>
      <c r="UK20" s="35"/>
      <c r="UL20" s="35"/>
      <c r="UM20" s="35"/>
      <c r="UN20" s="35"/>
      <c r="UO20" s="35"/>
      <c r="UP20" s="35"/>
      <c r="UQ20" s="35"/>
      <c r="UR20" s="35"/>
      <c r="US20" s="35"/>
      <c r="UT20" s="35"/>
      <c r="UU20" s="35"/>
      <c r="UV20" s="35"/>
      <c r="UW20" s="35"/>
      <c r="UX20" s="35"/>
      <c r="UY20" s="35"/>
      <c r="UZ20" s="35"/>
      <c r="VA20" s="35"/>
      <c r="VB20" s="35"/>
      <c r="VC20" s="35"/>
      <c r="VD20" s="35"/>
      <c r="VE20" s="35"/>
      <c r="VF20" s="35"/>
      <c r="VG20" s="35"/>
      <c r="VH20" s="35"/>
      <c r="VI20" s="35"/>
      <c r="VJ20" s="35"/>
      <c r="VK20" s="35"/>
      <c r="VL20" s="35"/>
      <c r="VM20" s="35"/>
      <c r="VN20" s="35"/>
      <c r="VO20" s="35"/>
      <c r="VP20" s="35"/>
      <c r="VQ20" s="35"/>
      <c r="VR20" s="35"/>
      <c r="VS20" s="35"/>
      <c r="VT20" s="35"/>
      <c r="VU20" s="35"/>
      <c r="VV20" s="35"/>
      <c r="VW20" s="35"/>
      <c r="VX20" s="35"/>
      <c r="VY20" s="35"/>
      <c r="VZ20" s="35"/>
      <c r="WA20" s="35"/>
      <c r="WB20" s="35"/>
      <c r="WC20" s="35"/>
      <c r="WD20" s="35"/>
      <c r="WE20" s="35"/>
      <c r="WF20" s="35"/>
      <c r="WG20" s="35"/>
      <c r="WH20" s="35"/>
      <c r="WI20" s="35"/>
      <c r="WJ20" s="35"/>
      <c r="WK20" s="35"/>
      <c r="WL20" s="35"/>
      <c r="WM20" s="35"/>
      <c r="WN20" s="35"/>
      <c r="WO20" s="35"/>
      <c r="WP20" s="35"/>
      <c r="WQ20" s="35"/>
      <c r="WR20" s="35"/>
      <c r="WS20" s="35"/>
      <c r="WT20" s="35"/>
      <c r="WU20" s="35"/>
      <c r="WV20" s="35"/>
      <c r="WW20" s="35"/>
      <c r="WX20" s="35"/>
      <c r="WY20" s="35"/>
      <c r="WZ20" s="35"/>
      <c r="XA20" s="35"/>
      <c r="XB20" s="35"/>
      <c r="XC20" s="35"/>
      <c r="XD20" s="35"/>
      <c r="XE20" s="35"/>
      <c r="XF20" s="35"/>
      <c r="XG20" s="35"/>
      <c r="XH20" s="35"/>
      <c r="XI20" s="35"/>
      <c r="XJ20" s="35"/>
      <c r="XK20" s="35"/>
      <c r="XL20" s="35"/>
      <c r="XM20" s="35"/>
      <c r="XN20" s="35"/>
      <c r="XO20" s="35"/>
      <c r="XP20" s="35"/>
      <c r="XQ20" s="35"/>
      <c r="XR20" s="35"/>
      <c r="XS20" s="35"/>
      <c r="XT20" s="35"/>
      <c r="XU20" s="35"/>
      <c r="XV20" s="35"/>
      <c r="XW20" s="35"/>
      <c r="XX20" s="35"/>
      <c r="XY20" s="35"/>
      <c r="XZ20" s="35"/>
      <c r="YA20" s="35"/>
      <c r="YB20" s="35"/>
      <c r="YC20" s="35"/>
      <c r="YD20" s="35"/>
      <c r="YE20" s="35"/>
      <c r="YF20" s="35"/>
      <c r="YG20" s="35"/>
      <c r="YH20" s="35"/>
      <c r="YI20" s="35"/>
      <c r="YJ20" s="35"/>
      <c r="YK20" s="35"/>
      <c r="YL20" s="35"/>
      <c r="YM20" s="35"/>
      <c r="YN20" s="35"/>
      <c r="YO20" s="35"/>
      <c r="YP20" s="35"/>
      <c r="YQ20" s="35"/>
      <c r="YR20" s="35"/>
      <c r="YS20" s="35"/>
      <c r="YT20" s="35"/>
      <c r="YU20" s="35"/>
      <c r="YV20" s="35"/>
      <c r="YW20" s="35"/>
      <c r="YX20" s="35"/>
      <c r="YY20" s="35"/>
      <c r="YZ20" s="35"/>
      <c r="ZA20" s="35"/>
      <c r="ZB20" s="35"/>
      <c r="ZC20" s="35"/>
      <c r="ZD20" s="35"/>
      <c r="ZE20" s="35"/>
      <c r="ZF20" s="35"/>
      <c r="ZG20" s="35"/>
      <c r="ZH20" s="35"/>
      <c r="ZI20" s="35"/>
      <c r="ZJ20" s="35"/>
      <c r="ZK20" s="35"/>
      <c r="ZL20" s="35"/>
      <c r="ZM20" s="35"/>
      <c r="ZN20" s="35"/>
    </row>
    <row r="21" spans="1:690">
      <c r="E21" s="44" t="s">
        <v>75</v>
      </c>
      <c r="F21" s="83"/>
      <c r="G21" s="83"/>
      <c r="H21" s="83"/>
      <c r="I21" s="64"/>
    </row>
    <row r="22" spans="1:690">
      <c r="E22" s="37" t="s">
        <v>186</v>
      </c>
      <c r="F22" s="70">
        <v>3500</v>
      </c>
      <c r="G22" s="70"/>
      <c r="H22" s="70"/>
      <c r="I22" s="70">
        <f t="shared" si="0"/>
        <v>3500</v>
      </c>
    </row>
    <row r="23" spans="1:690">
      <c r="E23" s="48" t="s">
        <v>187</v>
      </c>
      <c r="F23" s="83">
        <v>6133</v>
      </c>
      <c r="G23" s="83">
        <v>2000</v>
      </c>
      <c r="H23" s="83">
        <v>0</v>
      </c>
      <c r="I23" s="64">
        <f t="shared" si="0"/>
        <v>8133</v>
      </c>
    </row>
    <row r="24" spans="1:690">
      <c r="E24" s="37" t="s">
        <v>188</v>
      </c>
      <c r="F24" s="70">
        <f>5000+5000</f>
        <v>10000</v>
      </c>
      <c r="G24" s="70">
        <v>5000</v>
      </c>
      <c r="H24" s="70"/>
      <c r="I24" s="70">
        <f>SUM(F24:H24)</f>
        <v>15000</v>
      </c>
      <c r="K24" s="39"/>
    </row>
    <row r="25" spans="1:690">
      <c r="E25" s="48" t="s">
        <v>104</v>
      </c>
      <c r="F25" s="64">
        <v>0</v>
      </c>
      <c r="G25" s="64">
        <v>2700</v>
      </c>
      <c r="H25" s="64">
        <v>2700</v>
      </c>
      <c r="I25" s="64">
        <f t="shared" si="0"/>
        <v>5400</v>
      </c>
    </row>
    <row r="26" spans="1:690">
      <c r="E26" s="37" t="s">
        <v>189</v>
      </c>
      <c r="F26" s="70">
        <v>1050</v>
      </c>
      <c r="G26" s="70">
        <v>1050</v>
      </c>
      <c r="H26" s="70">
        <v>1050</v>
      </c>
      <c r="I26" s="70">
        <f>SUM(F26:H26)</f>
        <v>3150</v>
      </c>
      <c r="J26" s="72"/>
    </row>
    <row r="27" spans="1:690" s="55" customFormat="1">
      <c r="A27" s="35"/>
      <c r="B27" s="35"/>
      <c r="C27" s="35"/>
      <c r="D27" s="39"/>
      <c r="E27" s="60" t="s">
        <v>76</v>
      </c>
      <c r="F27" s="70">
        <f>SUM(F22:F26)</f>
        <v>20683</v>
      </c>
      <c r="G27" s="70">
        <f>SUM(G22:G26)</f>
        <v>10750</v>
      </c>
      <c r="H27" s="70">
        <f>SUM(H22:H26)</f>
        <v>3750</v>
      </c>
      <c r="I27" s="70">
        <f>SUM(I22:I26)</f>
        <v>35183</v>
      </c>
      <c r="J27" s="71"/>
      <c r="K27" s="71"/>
      <c r="L27" s="39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5"/>
      <c r="HC27" s="35"/>
      <c r="HD27" s="35"/>
      <c r="HE27" s="35"/>
      <c r="HF27" s="35"/>
      <c r="HG27" s="35"/>
      <c r="HH27" s="35"/>
      <c r="HI27" s="35"/>
      <c r="HJ27" s="35"/>
      <c r="HK27" s="35"/>
      <c r="HL27" s="35"/>
      <c r="HM27" s="35"/>
      <c r="HN27" s="35"/>
      <c r="HO27" s="35"/>
      <c r="HP27" s="35"/>
      <c r="HQ27" s="35"/>
      <c r="HR27" s="35"/>
      <c r="HS27" s="35"/>
      <c r="HT27" s="35"/>
      <c r="HU27" s="35"/>
      <c r="HV27" s="35"/>
      <c r="HW27" s="35"/>
      <c r="HX27" s="35"/>
      <c r="HY27" s="35"/>
      <c r="HZ27" s="35"/>
      <c r="IA27" s="35"/>
      <c r="IB27" s="35"/>
      <c r="IC27" s="35"/>
      <c r="ID27" s="35"/>
      <c r="IE27" s="35"/>
      <c r="IF27" s="35"/>
      <c r="IG27" s="35"/>
      <c r="IH27" s="35"/>
      <c r="II27" s="35"/>
      <c r="IJ27" s="35"/>
      <c r="IK27" s="35"/>
      <c r="IL27" s="35"/>
      <c r="IM27" s="35"/>
      <c r="IN27" s="35"/>
      <c r="IO27" s="35"/>
      <c r="IP27" s="35"/>
      <c r="IQ27" s="35"/>
      <c r="IR27" s="35"/>
      <c r="IS27" s="35"/>
      <c r="IT27" s="35"/>
      <c r="IU27" s="35"/>
      <c r="IV27" s="35"/>
      <c r="IW27" s="35"/>
      <c r="IX27" s="35"/>
      <c r="IY27" s="35"/>
      <c r="IZ27" s="35"/>
      <c r="JA27" s="35"/>
      <c r="JB27" s="35"/>
      <c r="JC27" s="35"/>
      <c r="JD27" s="35"/>
      <c r="JE27" s="35"/>
      <c r="JF27" s="35"/>
      <c r="JG27" s="35"/>
      <c r="JH27" s="35"/>
      <c r="JI27" s="35"/>
      <c r="JJ27" s="35"/>
      <c r="JK27" s="35"/>
      <c r="JL27" s="35"/>
      <c r="JM27" s="35"/>
      <c r="JN27" s="35"/>
      <c r="JO27" s="35"/>
      <c r="JP27" s="35"/>
      <c r="JQ27" s="35"/>
      <c r="JR27" s="35"/>
      <c r="JS27" s="35"/>
      <c r="JT27" s="35"/>
      <c r="JU27" s="35"/>
      <c r="JV27" s="35"/>
      <c r="JW27" s="35"/>
      <c r="JX27" s="35"/>
      <c r="JY27" s="35"/>
      <c r="JZ27" s="35"/>
      <c r="KA27" s="35"/>
      <c r="KB27" s="35"/>
      <c r="KC27" s="35"/>
      <c r="KD27" s="35"/>
      <c r="KE27" s="35"/>
      <c r="KF27" s="35"/>
      <c r="KG27" s="35"/>
      <c r="KH27" s="35"/>
      <c r="KI27" s="35"/>
      <c r="KJ27" s="35"/>
      <c r="KK27" s="35"/>
      <c r="KL27" s="35"/>
      <c r="KM27" s="35"/>
      <c r="KN27" s="35"/>
      <c r="KO27" s="35"/>
      <c r="KP27" s="35"/>
      <c r="KQ27" s="35"/>
      <c r="KR27" s="35"/>
      <c r="KS27" s="35"/>
      <c r="KT27" s="35"/>
      <c r="KU27" s="35"/>
      <c r="KV27" s="35"/>
      <c r="KW27" s="35"/>
      <c r="KX27" s="35"/>
      <c r="KY27" s="35"/>
      <c r="KZ27" s="35"/>
      <c r="LA27" s="35"/>
      <c r="LB27" s="35"/>
      <c r="LC27" s="35"/>
      <c r="LD27" s="35"/>
      <c r="LE27" s="35"/>
      <c r="LF27" s="35"/>
      <c r="LG27" s="35"/>
      <c r="LH27" s="35"/>
      <c r="LI27" s="35"/>
      <c r="LJ27" s="35"/>
      <c r="LK27" s="35"/>
      <c r="LL27" s="35"/>
      <c r="LM27" s="35"/>
      <c r="LN27" s="35"/>
      <c r="LO27" s="35"/>
      <c r="LP27" s="35"/>
      <c r="LQ27" s="35"/>
      <c r="LR27" s="35"/>
      <c r="LS27" s="35"/>
      <c r="LT27" s="35"/>
      <c r="LU27" s="35"/>
      <c r="LV27" s="35"/>
      <c r="LW27" s="35"/>
      <c r="LX27" s="35"/>
      <c r="LY27" s="35"/>
      <c r="LZ27" s="35"/>
      <c r="MA27" s="35"/>
      <c r="MB27" s="35"/>
      <c r="MC27" s="35"/>
      <c r="MD27" s="35"/>
      <c r="ME27" s="35"/>
      <c r="MF27" s="35"/>
      <c r="MG27" s="35"/>
      <c r="MH27" s="35"/>
      <c r="MI27" s="35"/>
      <c r="MJ27" s="35"/>
      <c r="MK27" s="35"/>
      <c r="ML27" s="35"/>
      <c r="MM27" s="35"/>
      <c r="MN27" s="35"/>
      <c r="MO27" s="35"/>
      <c r="MP27" s="35"/>
      <c r="MQ27" s="35"/>
      <c r="MR27" s="35"/>
      <c r="MS27" s="35"/>
      <c r="MT27" s="35"/>
      <c r="MU27" s="35"/>
      <c r="MV27" s="35"/>
      <c r="MW27" s="35"/>
      <c r="MX27" s="35"/>
      <c r="MY27" s="35"/>
      <c r="MZ27" s="35"/>
      <c r="NA27" s="35"/>
      <c r="NB27" s="35"/>
      <c r="NC27" s="35"/>
      <c r="ND27" s="35"/>
      <c r="NE27" s="35"/>
      <c r="NF27" s="35"/>
      <c r="NG27" s="35"/>
      <c r="NH27" s="35"/>
      <c r="NI27" s="35"/>
      <c r="NJ27" s="35"/>
      <c r="NK27" s="35"/>
      <c r="NL27" s="35"/>
      <c r="NM27" s="35"/>
      <c r="NN27" s="35"/>
      <c r="NO27" s="35"/>
      <c r="NP27" s="35"/>
      <c r="NQ27" s="35"/>
      <c r="NR27" s="35"/>
      <c r="NS27" s="35"/>
      <c r="NT27" s="35"/>
      <c r="NU27" s="35"/>
      <c r="NV27" s="35"/>
      <c r="NW27" s="35"/>
      <c r="NX27" s="35"/>
      <c r="NY27" s="35"/>
      <c r="NZ27" s="35"/>
      <c r="OA27" s="35"/>
      <c r="OB27" s="35"/>
      <c r="OC27" s="35"/>
      <c r="OD27" s="35"/>
      <c r="OE27" s="35"/>
      <c r="OF27" s="35"/>
      <c r="OG27" s="35"/>
      <c r="OH27" s="35"/>
      <c r="OI27" s="35"/>
      <c r="OJ27" s="35"/>
      <c r="OK27" s="35"/>
      <c r="OL27" s="35"/>
      <c r="OM27" s="35"/>
      <c r="ON27" s="35"/>
      <c r="OO27" s="35"/>
      <c r="OP27" s="35"/>
      <c r="OQ27" s="35"/>
      <c r="OR27" s="35"/>
      <c r="OS27" s="35"/>
      <c r="OT27" s="35"/>
      <c r="OU27" s="35"/>
      <c r="OV27" s="35"/>
      <c r="OW27" s="35"/>
      <c r="OX27" s="35"/>
      <c r="OY27" s="35"/>
      <c r="OZ27" s="35"/>
      <c r="PA27" s="35"/>
      <c r="PB27" s="35"/>
      <c r="PC27" s="35"/>
      <c r="PD27" s="35"/>
      <c r="PE27" s="35"/>
      <c r="PF27" s="35"/>
      <c r="PG27" s="35"/>
      <c r="PH27" s="35"/>
      <c r="PI27" s="35"/>
      <c r="PJ27" s="35"/>
      <c r="PK27" s="35"/>
      <c r="PL27" s="35"/>
      <c r="PM27" s="35"/>
      <c r="PN27" s="35"/>
      <c r="PO27" s="35"/>
      <c r="PP27" s="35"/>
      <c r="PQ27" s="35"/>
      <c r="PR27" s="35"/>
      <c r="PS27" s="35"/>
      <c r="PT27" s="35"/>
      <c r="PU27" s="35"/>
      <c r="PV27" s="35"/>
      <c r="PW27" s="35"/>
      <c r="PX27" s="35"/>
      <c r="PY27" s="35"/>
      <c r="PZ27" s="35"/>
      <c r="QA27" s="35"/>
      <c r="QB27" s="35"/>
      <c r="QC27" s="35"/>
      <c r="QD27" s="35"/>
      <c r="QE27" s="35"/>
      <c r="QF27" s="35"/>
      <c r="QG27" s="35"/>
      <c r="QH27" s="35"/>
      <c r="QI27" s="35"/>
      <c r="QJ27" s="35"/>
      <c r="QK27" s="35"/>
      <c r="QL27" s="35"/>
      <c r="QM27" s="35"/>
      <c r="QN27" s="35"/>
      <c r="QO27" s="35"/>
      <c r="QP27" s="35"/>
      <c r="QQ27" s="35"/>
      <c r="QR27" s="35"/>
      <c r="QS27" s="35"/>
      <c r="QT27" s="35"/>
      <c r="QU27" s="35"/>
      <c r="QV27" s="35"/>
      <c r="QW27" s="35"/>
      <c r="QX27" s="35"/>
      <c r="QY27" s="35"/>
      <c r="QZ27" s="35"/>
      <c r="RA27" s="35"/>
      <c r="RB27" s="35"/>
      <c r="RC27" s="35"/>
      <c r="RD27" s="35"/>
      <c r="RE27" s="35"/>
      <c r="RF27" s="35"/>
      <c r="RG27" s="35"/>
      <c r="RH27" s="35"/>
      <c r="RI27" s="35"/>
      <c r="RJ27" s="35"/>
      <c r="RK27" s="35"/>
      <c r="RL27" s="35"/>
      <c r="RM27" s="35"/>
      <c r="RN27" s="35"/>
      <c r="RO27" s="35"/>
      <c r="RP27" s="35"/>
      <c r="RQ27" s="35"/>
      <c r="RR27" s="35"/>
      <c r="RS27" s="35"/>
      <c r="RT27" s="35"/>
      <c r="RU27" s="35"/>
      <c r="RV27" s="35"/>
      <c r="RW27" s="35"/>
      <c r="RX27" s="35"/>
      <c r="RY27" s="35"/>
      <c r="RZ27" s="35"/>
      <c r="SA27" s="35"/>
      <c r="SB27" s="35"/>
      <c r="SC27" s="35"/>
      <c r="SD27" s="35"/>
      <c r="SE27" s="35"/>
      <c r="SF27" s="35"/>
      <c r="SG27" s="35"/>
      <c r="SH27" s="35"/>
      <c r="SI27" s="35"/>
      <c r="SJ27" s="35"/>
      <c r="SK27" s="35"/>
      <c r="SL27" s="35"/>
      <c r="SM27" s="35"/>
      <c r="SN27" s="35"/>
      <c r="SO27" s="35"/>
      <c r="SP27" s="35"/>
      <c r="SQ27" s="35"/>
      <c r="SR27" s="35"/>
      <c r="SS27" s="35"/>
      <c r="ST27" s="35"/>
      <c r="SU27" s="35"/>
      <c r="SV27" s="35"/>
      <c r="SW27" s="35"/>
      <c r="SX27" s="35"/>
      <c r="SY27" s="35"/>
      <c r="SZ27" s="35"/>
      <c r="TA27" s="35"/>
      <c r="TB27" s="35"/>
      <c r="TC27" s="35"/>
      <c r="TD27" s="35"/>
      <c r="TE27" s="35"/>
      <c r="TF27" s="35"/>
      <c r="TG27" s="35"/>
      <c r="TH27" s="35"/>
      <c r="TI27" s="35"/>
      <c r="TJ27" s="35"/>
      <c r="TK27" s="35"/>
      <c r="TL27" s="35"/>
      <c r="TM27" s="35"/>
      <c r="TN27" s="35"/>
      <c r="TO27" s="35"/>
      <c r="TP27" s="35"/>
      <c r="TQ27" s="35"/>
      <c r="TR27" s="35"/>
      <c r="TS27" s="35"/>
      <c r="TT27" s="35"/>
      <c r="TU27" s="35"/>
      <c r="TV27" s="35"/>
      <c r="TW27" s="35"/>
      <c r="TX27" s="35"/>
      <c r="TY27" s="35"/>
      <c r="TZ27" s="35"/>
      <c r="UA27" s="35"/>
      <c r="UB27" s="35"/>
      <c r="UC27" s="35"/>
      <c r="UD27" s="35"/>
      <c r="UE27" s="35"/>
      <c r="UF27" s="35"/>
      <c r="UG27" s="35"/>
      <c r="UH27" s="35"/>
      <c r="UI27" s="35"/>
      <c r="UJ27" s="35"/>
      <c r="UK27" s="35"/>
      <c r="UL27" s="35"/>
      <c r="UM27" s="35"/>
      <c r="UN27" s="35"/>
      <c r="UO27" s="35"/>
      <c r="UP27" s="35"/>
      <c r="UQ27" s="35"/>
      <c r="UR27" s="35"/>
      <c r="US27" s="35"/>
      <c r="UT27" s="35"/>
      <c r="UU27" s="35"/>
      <c r="UV27" s="35"/>
      <c r="UW27" s="35"/>
      <c r="UX27" s="35"/>
      <c r="UY27" s="35"/>
      <c r="UZ27" s="35"/>
      <c r="VA27" s="35"/>
      <c r="VB27" s="35"/>
      <c r="VC27" s="35"/>
      <c r="VD27" s="35"/>
      <c r="VE27" s="35"/>
      <c r="VF27" s="35"/>
      <c r="VG27" s="35"/>
      <c r="VH27" s="35"/>
      <c r="VI27" s="35"/>
      <c r="VJ27" s="35"/>
      <c r="VK27" s="35"/>
      <c r="VL27" s="35"/>
      <c r="VM27" s="35"/>
      <c r="VN27" s="35"/>
      <c r="VO27" s="35"/>
      <c r="VP27" s="35"/>
      <c r="VQ27" s="35"/>
      <c r="VR27" s="35"/>
      <c r="VS27" s="35"/>
      <c r="VT27" s="35"/>
      <c r="VU27" s="35"/>
      <c r="VV27" s="35"/>
      <c r="VW27" s="35"/>
      <c r="VX27" s="35"/>
      <c r="VY27" s="35"/>
      <c r="VZ27" s="35"/>
      <c r="WA27" s="35"/>
      <c r="WB27" s="35"/>
      <c r="WC27" s="35"/>
      <c r="WD27" s="35"/>
      <c r="WE27" s="35"/>
      <c r="WF27" s="35"/>
      <c r="WG27" s="35"/>
      <c r="WH27" s="35"/>
      <c r="WI27" s="35"/>
      <c r="WJ27" s="35"/>
      <c r="WK27" s="35"/>
      <c r="WL27" s="35"/>
      <c r="WM27" s="35"/>
      <c r="WN27" s="35"/>
      <c r="WO27" s="35"/>
      <c r="WP27" s="35"/>
      <c r="WQ27" s="35"/>
      <c r="WR27" s="35"/>
      <c r="WS27" s="35"/>
      <c r="WT27" s="35"/>
      <c r="WU27" s="35"/>
      <c r="WV27" s="35"/>
      <c r="WW27" s="35"/>
      <c r="WX27" s="35"/>
      <c r="WY27" s="35"/>
      <c r="WZ27" s="35"/>
      <c r="XA27" s="35"/>
      <c r="XB27" s="35"/>
      <c r="XC27" s="35"/>
      <c r="XD27" s="35"/>
      <c r="XE27" s="35"/>
      <c r="XF27" s="35"/>
      <c r="XG27" s="35"/>
      <c r="XH27" s="35"/>
      <c r="XI27" s="35"/>
      <c r="XJ27" s="35"/>
      <c r="XK27" s="35"/>
      <c r="XL27" s="35"/>
      <c r="XM27" s="35"/>
      <c r="XN27" s="35"/>
      <c r="XO27" s="35"/>
      <c r="XP27" s="35"/>
      <c r="XQ27" s="35"/>
      <c r="XR27" s="35"/>
      <c r="XS27" s="35"/>
      <c r="XT27" s="35"/>
      <c r="XU27" s="35"/>
      <c r="XV27" s="35"/>
      <c r="XW27" s="35"/>
      <c r="XX27" s="35"/>
      <c r="XY27" s="35"/>
      <c r="XZ27" s="35"/>
      <c r="YA27" s="35"/>
      <c r="YB27" s="35"/>
      <c r="YC27" s="35"/>
      <c r="YD27" s="35"/>
      <c r="YE27" s="35"/>
      <c r="YF27" s="35"/>
      <c r="YG27" s="35"/>
      <c r="YH27" s="35"/>
      <c r="YI27" s="35"/>
      <c r="YJ27" s="35"/>
      <c r="YK27" s="35"/>
      <c r="YL27" s="35"/>
      <c r="YM27" s="35"/>
      <c r="YN27" s="35"/>
      <c r="YO27" s="35"/>
      <c r="YP27" s="35"/>
      <c r="YQ27" s="35"/>
      <c r="YR27" s="35"/>
      <c r="YS27" s="35"/>
      <c r="YT27" s="35"/>
      <c r="YU27" s="35"/>
      <c r="YV27" s="35"/>
      <c r="YW27" s="35"/>
      <c r="YX27" s="35"/>
      <c r="YY27" s="35"/>
      <c r="YZ27" s="35"/>
      <c r="ZA27" s="35"/>
      <c r="ZB27" s="35"/>
      <c r="ZC27" s="35"/>
      <c r="ZD27" s="35"/>
      <c r="ZE27" s="35"/>
      <c r="ZF27" s="35"/>
      <c r="ZG27" s="35"/>
      <c r="ZH27" s="35"/>
      <c r="ZI27" s="35"/>
      <c r="ZJ27" s="35"/>
      <c r="ZK27" s="35"/>
      <c r="ZL27" s="35"/>
      <c r="ZM27" s="35"/>
      <c r="ZN27" s="35"/>
    </row>
    <row r="28" spans="1:690">
      <c r="E28" s="44" t="s">
        <v>77</v>
      </c>
      <c r="F28" s="83">
        <f>SUM(F27+F20+F16)</f>
        <v>148851.01341666665</v>
      </c>
      <c r="G28" s="83">
        <f>SUM(G27+G20+G16)</f>
        <v>145485.36342499999</v>
      </c>
      <c r="H28" s="83">
        <f>SUM(H27+H20+H16)</f>
        <v>145429.02840062499</v>
      </c>
      <c r="I28" s="83">
        <f>SUM(I27+I20+I16)</f>
        <v>439765.40524229163</v>
      </c>
    </row>
    <row r="29" spans="1:690">
      <c r="E29" s="37" t="s">
        <v>190</v>
      </c>
      <c r="F29" s="84">
        <f>F28*0.442</f>
        <v>65792.147930166655</v>
      </c>
      <c r="G29" s="84">
        <f t="shared" ref="G29:H29" si="1">G28*0.442</f>
        <v>64304.530633849994</v>
      </c>
      <c r="H29" s="84">
        <f t="shared" si="1"/>
        <v>64279.630553076247</v>
      </c>
      <c r="I29" s="70">
        <f t="shared" si="0"/>
        <v>194376.3091170929</v>
      </c>
      <c r="J29" s="61"/>
      <c r="K29" s="62"/>
    </row>
    <row r="30" spans="1:690">
      <c r="E30" s="48" t="s">
        <v>191</v>
      </c>
      <c r="F30" s="64">
        <f>2*25000*0.442</f>
        <v>22100</v>
      </c>
      <c r="G30" s="64">
        <f>2*25000*0.442</f>
        <v>22100</v>
      </c>
      <c r="H30" s="64">
        <f>2*25000*0.442</f>
        <v>22100</v>
      </c>
      <c r="I30" s="64">
        <f t="shared" si="0"/>
        <v>66300</v>
      </c>
      <c r="J30" s="62"/>
      <c r="K30" s="39"/>
      <c r="L30" s="39"/>
    </row>
    <row r="31" spans="1:690">
      <c r="E31" s="37" t="s">
        <v>78</v>
      </c>
      <c r="F31" s="70">
        <f>F74</f>
        <v>85930.717034666668</v>
      </c>
      <c r="G31" s="70">
        <f>G74</f>
        <v>487357.63369066664</v>
      </c>
      <c r="H31" s="70">
        <f>H74</f>
        <v>492768.22149650671</v>
      </c>
      <c r="I31" s="115">
        <f t="shared" si="0"/>
        <v>1066056.57222184</v>
      </c>
    </row>
    <row r="32" spans="1:690">
      <c r="E32" s="48" t="s">
        <v>79</v>
      </c>
      <c r="F32" s="83">
        <f>F106</f>
        <v>147928.75</v>
      </c>
      <c r="G32" s="83">
        <f>G106</f>
        <v>63130.75</v>
      </c>
      <c r="H32" s="83">
        <f>H106</f>
        <v>22242.73333333333</v>
      </c>
      <c r="I32" s="115">
        <f t="shared" si="0"/>
        <v>233302.23333333334</v>
      </c>
    </row>
    <row r="33" spans="1:18">
      <c r="E33" s="85" t="s">
        <v>62</v>
      </c>
      <c r="F33" s="86">
        <f>SUM(F32+F30+F29+F28+F31)</f>
        <v>470602.62838150002</v>
      </c>
      <c r="G33" s="86">
        <f>SUM(G32+G30+G29+G28+G31)</f>
        <v>782378.27774951665</v>
      </c>
      <c r="H33" s="86">
        <f>SUM(H32+H30+H29+H28+H31)</f>
        <v>746819.61378354125</v>
      </c>
      <c r="I33" s="86">
        <f t="shared" si="0"/>
        <v>1999800.5199145577</v>
      </c>
    </row>
    <row r="34" spans="1:18">
      <c r="F34" s="18"/>
      <c r="G34" s="18"/>
      <c r="H34" s="18"/>
      <c r="I34" s="39"/>
    </row>
    <row r="35" spans="1:18">
      <c r="A35" s="146" t="s">
        <v>108</v>
      </c>
      <c r="B35" s="146"/>
      <c r="C35" s="146"/>
      <c r="D35" s="38"/>
      <c r="E35" s="36" t="s">
        <v>56</v>
      </c>
      <c r="F35" s="110" t="s">
        <v>59</v>
      </c>
      <c r="G35" s="110" t="s">
        <v>60</v>
      </c>
      <c r="H35" s="110" t="s">
        <v>61</v>
      </c>
      <c r="I35" s="110" t="s">
        <v>62</v>
      </c>
    </row>
    <row r="36" spans="1:18">
      <c r="A36" s="110" t="s">
        <v>59</v>
      </c>
      <c r="B36" s="110" t="s">
        <v>60</v>
      </c>
      <c r="C36" s="110" t="s">
        <v>61</v>
      </c>
      <c r="D36" s="59" t="s">
        <v>107</v>
      </c>
      <c r="E36" s="44" t="s">
        <v>64</v>
      </c>
      <c r="F36" s="92">
        <v>0.28199999999999997</v>
      </c>
      <c r="G36" s="92">
        <v>0.28199999999999997</v>
      </c>
      <c r="H36" s="92">
        <v>0.28199999999999997</v>
      </c>
      <c r="I36" s="44"/>
    </row>
    <row r="37" spans="1:18">
      <c r="A37" s="36">
        <v>0.48</v>
      </c>
      <c r="B37" s="36">
        <v>0.48</v>
      </c>
      <c r="C37" s="36">
        <v>0.48</v>
      </c>
      <c r="D37" s="38">
        <v>444316</v>
      </c>
      <c r="E37" s="40" t="s">
        <v>114</v>
      </c>
      <c r="F37" s="82">
        <f>(D37/12)*A37</f>
        <v>17772.64</v>
      </c>
      <c r="G37" s="82">
        <f>((D37)*((1+0.03)^1)/12)*B37</f>
        <v>18305.819200000002</v>
      </c>
      <c r="H37" s="82">
        <f>((D37)*((1+0.03)^2)/12)*C37</f>
        <v>18854.993775999999</v>
      </c>
      <c r="I37" s="70">
        <f t="shared" ref="I37:I48" si="2">SUM(F37:H37)</f>
        <v>54933.452976</v>
      </c>
      <c r="J37" s="58"/>
      <c r="K37" s="39"/>
      <c r="L37" s="39"/>
      <c r="M37" s="39"/>
      <c r="N37" s="39"/>
    </row>
    <row r="38" spans="1:18">
      <c r="A38" s="36"/>
      <c r="B38" s="36"/>
      <c r="C38" s="36"/>
      <c r="D38" s="38"/>
      <c r="E38" s="45" t="s">
        <v>80</v>
      </c>
      <c r="F38" s="83">
        <f>F36*F37</f>
        <v>5011.8844799999997</v>
      </c>
      <c r="G38" s="83">
        <f t="shared" ref="G38:H38" si="3">G37*0.3</f>
        <v>5491.7457600000007</v>
      </c>
      <c r="H38" s="83">
        <f t="shared" si="3"/>
        <v>5656.4981327999994</v>
      </c>
      <c r="I38" s="64">
        <f t="shared" si="2"/>
        <v>16160.1283728</v>
      </c>
      <c r="K38" s="56"/>
    </row>
    <row r="39" spans="1:18">
      <c r="A39" s="87">
        <v>2</v>
      </c>
      <c r="B39" s="87">
        <v>2</v>
      </c>
      <c r="C39" s="87">
        <v>2</v>
      </c>
      <c r="D39" s="38">
        <v>130681</v>
      </c>
      <c r="E39" s="40" t="s">
        <v>115</v>
      </c>
      <c r="F39" s="82">
        <f>(D39/12)*A39</f>
        <v>21780.166666666668</v>
      </c>
      <c r="G39" s="82">
        <f>((D39)*((1+0.03)^1)/12)*B39</f>
        <v>22433.571666666667</v>
      </c>
      <c r="H39" s="82">
        <f>((D39)*((1+0.03)^2)/12)*C39</f>
        <v>23106.578816666664</v>
      </c>
      <c r="I39" s="70">
        <f t="shared" si="2"/>
        <v>67320.317150000003</v>
      </c>
      <c r="J39" s="58"/>
    </row>
    <row r="40" spans="1:18">
      <c r="A40" s="36"/>
      <c r="B40" s="36"/>
      <c r="C40" s="36"/>
      <c r="D40" s="38"/>
      <c r="E40" s="45" t="s">
        <v>81</v>
      </c>
      <c r="F40" s="83">
        <f>F39*F36</f>
        <v>6142.0069999999996</v>
      </c>
      <c r="G40" s="83">
        <f t="shared" ref="G40:H40" si="4">G39*G36</f>
        <v>6326.2672099999991</v>
      </c>
      <c r="H40" s="83">
        <f t="shared" si="4"/>
        <v>6516.055226299999</v>
      </c>
      <c r="I40" s="64">
        <f t="shared" si="2"/>
        <v>18984.329436299999</v>
      </c>
    </row>
    <row r="41" spans="1:18">
      <c r="A41" s="36">
        <v>0</v>
      </c>
      <c r="B41" s="36">
        <v>1.2</v>
      </c>
      <c r="C41" s="36">
        <v>1.2</v>
      </c>
      <c r="D41" s="38">
        <v>74750</v>
      </c>
      <c r="E41" s="40" t="s">
        <v>138</v>
      </c>
      <c r="F41" s="82">
        <f>(D41/12)*A41</f>
        <v>0</v>
      </c>
      <c r="G41" s="82">
        <f>((D41)*((1+0.03)^1)/12)*B41</f>
        <v>7699.25</v>
      </c>
      <c r="H41" s="82">
        <f>((D41)*((1+0.03)^2)/12)*C41</f>
        <v>7930.2274999999991</v>
      </c>
      <c r="I41" s="70">
        <f t="shared" si="2"/>
        <v>15629.477499999999</v>
      </c>
      <c r="J41" s="58"/>
    </row>
    <row r="42" spans="1:18">
      <c r="A42" s="36"/>
      <c r="B42" s="36"/>
      <c r="C42" s="36"/>
      <c r="D42" s="38"/>
      <c r="E42" s="45" t="s">
        <v>139</v>
      </c>
      <c r="F42" s="83">
        <f>F41*0.3</f>
        <v>0</v>
      </c>
      <c r="G42" s="83">
        <f>G41*G36</f>
        <v>2171.1884999999997</v>
      </c>
      <c r="H42" s="83">
        <f>H41*H36</f>
        <v>2236.3241549999993</v>
      </c>
      <c r="I42" s="64">
        <f t="shared" si="2"/>
        <v>4407.5126549999986</v>
      </c>
    </row>
    <row r="43" spans="1:18">
      <c r="A43" s="36">
        <v>0</v>
      </c>
      <c r="B43" s="36">
        <v>1</v>
      </c>
      <c r="C43" s="36">
        <v>1</v>
      </c>
      <c r="D43" s="38">
        <v>62727</v>
      </c>
      <c r="E43" s="40" t="s">
        <v>118</v>
      </c>
      <c r="F43" s="82">
        <f>(D43/12)*A43</f>
        <v>0</v>
      </c>
      <c r="G43" s="82">
        <f>((D43)*((1+0.03)^1)/12)*B43</f>
        <v>5384.0675000000001</v>
      </c>
      <c r="H43" s="82">
        <f>((D43)*((1+0.03)^2)/12)*C43</f>
        <v>5545.5895249999994</v>
      </c>
      <c r="I43" s="70">
        <f t="shared" si="2"/>
        <v>10929.657025</v>
      </c>
      <c r="J43" s="58"/>
    </row>
    <row r="44" spans="1:18">
      <c r="A44" s="36"/>
      <c r="B44" s="36"/>
      <c r="C44" s="36"/>
      <c r="D44" s="38"/>
      <c r="E44" s="45" t="s">
        <v>140</v>
      </c>
      <c r="F44" s="83">
        <f>F43*0.3</f>
        <v>0</v>
      </c>
      <c r="G44" s="83">
        <f>G43*G36</f>
        <v>1518.3070349999998</v>
      </c>
      <c r="H44" s="83">
        <f>H43*H36</f>
        <v>1563.8562460499998</v>
      </c>
      <c r="I44" s="64">
        <f t="shared" si="2"/>
        <v>3082.1632810499996</v>
      </c>
    </row>
    <row r="45" spans="1:18">
      <c r="A45" s="36">
        <v>0</v>
      </c>
      <c r="B45" s="36">
        <v>6</v>
      </c>
      <c r="C45" s="36">
        <v>6</v>
      </c>
      <c r="D45" s="38">
        <v>52273</v>
      </c>
      <c r="E45" s="40" t="s">
        <v>116</v>
      </c>
      <c r="F45" s="82">
        <f>(D45/12)*A45</f>
        <v>0</v>
      </c>
      <c r="G45" s="82">
        <f>((D45)*((1+0.03)^1)/12)*B45</f>
        <v>26920.595000000001</v>
      </c>
      <c r="H45" s="82">
        <f>((D45)*((1+0.03)^2)/12)*C45</f>
        <v>27728.212850000004</v>
      </c>
      <c r="I45" s="70">
        <f t="shared" si="2"/>
        <v>54648.807850000005</v>
      </c>
      <c r="J45" s="58"/>
    </row>
    <row r="46" spans="1:18">
      <c r="A46" s="36"/>
      <c r="B46" s="36"/>
      <c r="C46" s="36"/>
      <c r="D46" s="38"/>
      <c r="E46" s="45" t="s">
        <v>82</v>
      </c>
      <c r="F46" s="83">
        <f>F45*0.3</f>
        <v>0</v>
      </c>
      <c r="G46" s="83">
        <f>G45*G36</f>
        <v>7591.60779</v>
      </c>
      <c r="H46" s="83">
        <f t="shared" ref="H46" si="5">H45*0.3</f>
        <v>8318.463855</v>
      </c>
      <c r="I46" s="64">
        <f t="shared" si="2"/>
        <v>15910.071645</v>
      </c>
      <c r="M46" s="116"/>
      <c r="N46" s="117"/>
      <c r="O46" s="117"/>
      <c r="P46" s="117"/>
      <c r="Q46" s="117"/>
      <c r="R46" s="117"/>
    </row>
    <row r="47" spans="1:18">
      <c r="A47" s="36">
        <v>0</v>
      </c>
      <c r="B47" s="36">
        <v>3</v>
      </c>
      <c r="C47" s="36">
        <v>3</v>
      </c>
      <c r="D47" s="38">
        <v>52273</v>
      </c>
      <c r="E47" s="40" t="s">
        <v>117</v>
      </c>
      <c r="F47" s="82">
        <f>(D47/12)*A47</f>
        <v>0</v>
      </c>
      <c r="G47" s="82">
        <f>((D47)*((1+0.03)^1)/12)*B47</f>
        <v>13460.297500000001</v>
      </c>
      <c r="H47" s="82">
        <f>((D47)*((1+0.03)^2)/12)*C47</f>
        <v>13864.106425000002</v>
      </c>
      <c r="I47" s="70">
        <f t="shared" si="2"/>
        <v>27324.403925000002</v>
      </c>
      <c r="J47" s="58"/>
    </row>
    <row r="48" spans="1:18">
      <c r="E48" s="45" t="s">
        <v>83</v>
      </c>
      <c r="F48" s="83">
        <f>F47*0.3</f>
        <v>0</v>
      </c>
      <c r="G48" s="83">
        <f>G47*G36</f>
        <v>3795.803895</v>
      </c>
      <c r="H48" s="83">
        <f t="shared" ref="H48" si="6">H47*0.3</f>
        <v>4159.2319275</v>
      </c>
      <c r="I48" s="64">
        <f t="shared" si="2"/>
        <v>7955.0358225</v>
      </c>
    </row>
    <row r="49" spans="5:9">
      <c r="E49" s="41" t="s">
        <v>84</v>
      </c>
      <c r="F49" s="82">
        <f>SUM(F48+F46+F44+F42+F40+F38)</f>
        <v>11153.891479999998</v>
      </c>
      <c r="G49" s="82">
        <f>SUM(G48+G46+G44+G42+G40+G38)</f>
        <v>26894.920190000001</v>
      </c>
      <c r="H49" s="82">
        <f>SUM(H48+H46+H44+H42+H40+H38)</f>
        <v>28450.429542649996</v>
      </c>
      <c r="I49" s="70">
        <f>SUM(F49:H49)</f>
        <v>66499.241212649998</v>
      </c>
    </row>
    <row r="50" spans="5:9">
      <c r="E50" s="47" t="s">
        <v>70</v>
      </c>
      <c r="F50" s="83">
        <f>SUM(F47+F45+F43+F41+F39+F37)</f>
        <v>39552.806666666671</v>
      </c>
      <c r="G50" s="83">
        <f>SUM(G47+G45+G43+G41+G39+G37)</f>
        <v>94203.60086666666</v>
      </c>
      <c r="H50" s="83">
        <f>SUM(H47+H45+H43+H41+H39+H37)</f>
        <v>97029.708892666677</v>
      </c>
      <c r="I50" s="64">
        <f>SUM(F50:H50)</f>
        <v>230786.11642600002</v>
      </c>
    </row>
    <row r="51" spans="5:9">
      <c r="E51" s="36" t="s">
        <v>69</v>
      </c>
      <c r="F51" s="82">
        <f>SUM(F49:F50)</f>
        <v>50706.698146666669</v>
      </c>
      <c r="G51" s="82">
        <f>SUM(G49:G50)</f>
        <v>121098.52105666666</v>
      </c>
      <c r="H51" s="82">
        <f>SUM(H49:H50)</f>
        <v>125480.13843531668</v>
      </c>
      <c r="I51" s="70">
        <f>SUM(F51:H51)</f>
        <v>297285.35763864999</v>
      </c>
    </row>
    <row r="52" spans="5:9">
      <c r="E52" s="44" t="s">
        <v>73</v>
      </c>
      <c r="F52" s="83"/>
      <c r="G52" s="83"/>
      <c r="H52" s="83"/>
      <c r="I52" s="83"/>
    </row>
    <row r="53" spans="5:9">
      <c r="E53" s="37" t="s">
        <v>74</v>
      </c>
      <c r="F53" s="82"/>
      <c r="G53" s="82"/>
      <c r="H53" s="82"/>
      <c r="I53" s="70">
        <f>SUM(F53:H53)</f>
        <v>0</v>
      </c>
    </row>
    <row r="54" spans="5:9">
      <c r="E54" s="48" t="s">
        <v>71</v>
      </c>
      <c r="F54" s="83">
        <v>2000</v>
      </c>
      <c r="G54" s="83">
        <v>4000</v>
      </c>
      <c r="H54" s="83">
        <v>4000</v>
      </c>
      <c r="I54" s="64">
        <f>SUM(F54:H54)</f>
        <v>10000</v>
      </c>
    </row>
    <row r="55" spans="5:9">
      <c r="E55" s="36" t="s">
        <v>72</v>
      </c>
      <c r="F55" s="82">
        <f>SUM(F53:F54)</f>
        <v>2000</v>
      </c>
      <c r="G55" s="82">
        <f>SUM(G53:G54)</f>
        <v>4000</v>
      </c>
      <c r="H55" s="82">
        <f>SUM(H53:H54)</f>
        <v>4000</v>
      </c>
      <c r="I55" s="70">
        <f>SUM(F55:H55)</f>
        <v>10000</v>
      </c>
    </row>
    <row r="56" spans="5:9">
      <c r="E56" s="44" t="s">
        <v>75</v>
      </c>
      <c r="F56" s="83"/>
      <c r="G56" s="83"/>
      <c r="H56" s="83"/>
      <c r="I56" s="83"/>
    </row>
    <row r="57" spans="5:9">
      <c r="E57" s="36" t="s">
        <v>85</v>
      </c>
      <c r="F57" s="82">
        <v>0</v>
      </c>
      <c r="G57" s="82">
        <v>10000</v>
      </c>
      <c r="H57" s="82">
        <v>10000</v>
      </c>
      <c r="I57" s="82">
        <f>SUM(F57:H57)</f>
        <v>20000</v>
      </c>
    </row>
    <row r="58" spans="5:9">
      <c r="E58" s="44" t="s">
        <v>86</v>
      </c>
      <c r="F58" s="83">
        <v>0</v>
      </c>
      <c r="G58" s="83"/>
      <c r="H58" s="83"/>
      <c r="I58" s="83">
        <f>SUM(F58:H58)</f>
        <v>0</v>
      </c>
    </row>
    <row r="59" spans="5:9">
      <c r="E59" s="36" t="s">
        <v>87</v>
      </c>
      <c r="F59" s="82">
        <v>0</v>
      </c>
      <c r="G59" s="82">
        <v>4000</v>
      </c>
      <c r="H59" s="82">
        <v>4000</v>
      </c>
      <c r="I59" s="82">
        <f>SUM(F59:H59)</f>
        <v>8000</v>
      </c>
    </row>
    <row r="60" spans="5:9">
      <c r="E60" s="44" t="s">
        <v>88</v>
      </c>
      <c r="F60" s="83">
        <v>0</v>
      </c>
      <c r="G60" s="83">
        <v>2000</v>
      </c>
      <c r="H60" s="83">
        <v>2000</v>
      </c>
      <c r="I60" s="83">
        <f>SUM(F60:H60)</f>
        <v>4000</v>
      </c>
    </row>
    <row r="61" spans="5:9">
      <c r="E61" s="36" t="s">
        <v>89</v>
      </c>
      <c r="F61" s="82">
        <v>1000</v>
      </c>
      <c r="G61" s="82">
        <v>1000</v>
      </c>
      <c r="H61" s="82">
        <v>0</v>
      </c>
      <c r="I61" s="82">
        <f>SUM(F61:H61)</f>
        <v>2000</v>
      </c>
    </row>
    <row r="62" spans="5:9">
      <c r="E62" s="48" t="s">
        <v>97</v>
      </c>
      <c r="F62" s="83"/>
      <c r="G62" s="83"/>
      <c r="H62" s="83"/>
      <c r="I62" s="83"/>
    </row>
    <row r="63" spans="5:9">
      <c r="E63" s="37" t="s">
        <v>91</v>
      </c>
      <c r="F63" s="82"/>
      <c r="G63" s="82">
        <v>48000</v>
      </c>
      <c r="H63" s="82">
        <v>48000</v>
      </c>
      <c r="I63" s="82">
        <f t="shared" ref="I63:I69" si="7">SUM(F63:H63)</f>
        <v>96000</v>
      </c>
    </row>
    <row r="64" spans="5:9">
      <c r="E64" s="48" t="s">
        <v>92</v>
      </c>
      <c r="F64" s="83"/>
      <c r="G64" s="83">
        <v>32000</v>
      </c>
      <c r="H64" s="83">
        <v>32000</v>
      </c>
      <c r="I64" s="83">
        <f t="shared" si="7"/>
        <v>64000</v>
      </c>
    </row>
    <row r="65" spans="1:13">
      <c r="E65" s="48" t="s">
        <v>93</v>
      </c>
      <c r="F65" s="83"/>
      <c r="G65" s="83">
        <v>20000</v>
      </c>
      <c r="H65" s="83">
        <v>20000</v>
      </c>
      <c r="I65" s="83">
        <f t="shared" si="7"/>
        <v>40000</v>
      </c>
    </row>
    <row r="66" spans="1:13">
      <c r="E66" s="37" t="s">
        <v>94</v>
      </c>
      <c r="F66" s="82"/>
      <c r="G66" s="82">
        <v>30000</v>
      </c>
      <c r="H66" s="82">
        <v>30000</v>
      </c>
      <c r="I66" s="82">
        <f t="shared" si="7"/>
        <v>60000</v>
      </c>
    </row>
    <row r="67" spans="1:13">
      <c r="E67" s="37" t="s">
        <v>141</v>
      </c>
      <c r="F67" s="82"/>
      <c r="G67" s="82">
        <v>10000</v>
      </c>
      <c r="H67" s="82">
        <v>10000</v>
      </c>
      <c r="I67" s="82">
        <f t="shared" si="7"/>
        <v>20000</v>
      </c>
    </row>
    <row r="68" spans="1:13">
      <c r="E68" s="48" t="s">
        <v>95</v>
      </c>
      <c r="F68" s="83"/>
      <c r="G68" s="83">
        <v>10000</v>
      </c>
      <c r="H68" s="83">
        <v>10000</v>
      </c>
      <c r="I68" s="83">
        <f t="shared" si="7"/>
        <v>20000</v>
      </c>
    </row>
    <row r="69" spans="1:13">
      <c r="E69" s="37" t="s">
        <v>96</v>
      </c>
      <c r="F69" s="82"/>
      <c r="G69" s="82">
        <v>12500</v>
      </c>
      <c r="H69" s="82">
        <v>12500</v>
      </c>
      <c r="I69" s="82">
        <f t="shared" si="7"/>
        <v>25000</v>
      </c>
    </row>
    <row r="70" spans="1:13">
      <c r="E70" s="48" t="s">
        <v>98</v>
      </c>
      <c r="F70" s="83">
        <f>SUM(F63:F69)</f>
        <v>0</v>
      </c>
      <c r="G70" s="83">
        <f>SUM(G63:G69)</f>
        <v>162500</v>
      </c>
      <c r="H70" s="83">
        <f>SUM(H63:H69)</f>
        <v>162500</v>
      </c>
      <c r="I70" s="83">
        <f>SUM(F70:H70)</f>
        <v>325000</v>
      </c>
    </row>
    <row r="71" spans="1:13">
      <c r="E71" s="36" t="s">
        <v>76</v>
      </c>
      <c r="F71" s="82">
        <f>SUM(F57:F61)+F70</f>
        <v>1000</v>
      </c>
      <c r="G71" s="82">
        <f>SUM(G57:G61)+G70</f>
        <v>179500</v>
      </c>
      <c r="H71" s="82">
        <f>SUM(H57:H61)+H70</f>
        <v>178500</v>
      </c>
      <c r="I71" s="82">
        <f>SUM(F71:H71)</f>
        <v>359000</v>
      </c>
    </row>
    <row r="72" spans="1:13">
      <c r="E72" s="44" t="s">
        <v>90</v>
      </c>
      <c r="F72" s="83">
        <f>SUM(F71+F55+F51)</f>
        <v>53706.698146666669</v>
      </c>
      <c r="G72" s="83">
        <f>SUM(G71+G55+G51)</f>
        <v>304598.52105666668</v>
      </c>
      <c r="H72" s="83">
        <f>SUM(H71+H55+H51)</f>
        <v>307980.13843531668</v>
      </c>
      <c r="I72" s="83">
        <f>SUM(F72:H72)</f>
        <v>666285.35763865011</v>
      </c>
    </row>
    <row r="73" spans="1:13">
      <c r="E73" s="36" t="s">
        <v>99</v>
      </c>
      <c r="F73" s="82">
        <f>F72*0.6</f>
        <v>32224.018887999999</v>
      </c>
      <c r="G73" s="82">
        <f>G72*0.6</f>
        <v>182759.11263399999</v>
      </c>
      <c r="H73" s="82">
        <f>H72*0.6</f>
        <v>184788.08306119</v>
      </c>
      <c r="I73" s="82">
        <f>SUM(F73:H73)</f>
        <v>399771.21458318998</v>
      </c>
    </row>
    <row r="74" spans="1:13">
      <c r="E74" s="49" t="s">
        <v>62</v>
      </c>
      <c r="F74" s="50">
        <f>SUM(F72:F73)</f>
        <v>85930.717034666668</v>
      </c>
      <c r="G74" s="50">
        <f>SUM(G72:G73)</f>
        <v>487357.63369066664</v>
      </c>
      <c r="H74" s="50">
        <f>SUM(H72:H73)</f>
        <v>492768.22149650671</v>
      </c>
      <c r="I74" s="118">
        <f>SUM(F74:H74)</f>
        <v>1066056.57222184</v>
      </c>
    </row>
    <row r="75" spans="1:13">
      <c r="E75" s="42"/>
      <c r="F75" s="43"/>
      <c r="G75" s="43"/>
      <c r="H75" s="43"/>
      <c r="I75" s="43"/>
      <c r="K75" s="57"/>
      <c r="L75" s="11"/>
      <c r="M75" s="11"/>
    </row>
    <row r="76" spans="1:13">
      <c r="A76"/>
      <c r="B76"/>
      <c r="C76"/>
      <c r="E76" t="s">
        <v>100</v>
      </c>
      <c r="F76" s="53" t="s">
        <v>59</v>
      </c>
      <c r="G76" s="53" t="s">
        <v>60</v>
      </c>
      <c r="H76" s="53" t="s">
        <v>61</v>
      </c>
      <c r="I76" s="53" t="s">
        <v>62</v>
      </c>
      <c r="K76" s="57"/>
      <c r="L76" s="15"/>
      <c r="M76" s="15"/>
    </row>
    <row r="77" spans="1:13">
      <c r="A77" s="89" t="s">
        <v>59</v>
      </c>
      <c r="B77" s="89" t="s">
        <v>60</v>
      </c>
      <c r="C77" s="89" t="s">
        <v>61</v>
      </c>
      <c r="D77" s="110" t="s">
        <v>119</v>
      </c>
      <c r="E77" s="52" t="s">
        <v>63</v>
      </c>
      <c r="F77" s="52"/>
      <c r="G77" s="52"/>
      <c r="H77" s="52"/>
      <c r="I77" s="44"/>
      <c r="K77" s="39"/>
      <c r="L77" s="14"/>
      <c r="M77" s="14"/>
    </row>
    <row r="78" spans="1:13">
      <c r="A78" s="89">
        <v>2</v>
      </c>
      <c r="B78" s="89">
        <v>2</v>
      </c>
      <c r="C78" s="89">
        <v>1.5</v>
      </c>
      <c r="D78" s="38">
        <v>60000</v>
      </c>
      <c r="E78" s="37" t="s">
        <v>132</v>
      </c>
      <c r="F78" s="78">
        <f>$D$78/12*A78</f>
        <v>10000</v>
      </c>
      <c r="G78" s="78">
        <f>$D$78/12*B78</f>
        <v>10000</v>
      </c>
      <c r="H78" s="119">
        <v>6541</v>
      </c>
      <c r="I78" s="77">
        <f t="shared" ref="I78:I87" si="8">SUM(F78:H78)</f>
        <v>26541</v>
      </c>
    </row>
    <row r="79" spans="1:13">
      <c r="A79" s="89">
        <v>2</v>
      </c>
      <c r="B79" s="89">
        <v>2</v>
      </c>
      <c r="C79" s="89">
        <v>1</v>
      </c>
      <c r="D79" s="88">
        <v>32000</v>
      </c>
      <c r="E79" s="91" t="s">
        <v>133</v>
      </c>
      <c r="F79" s="79">
        <f>$D$79/12*A79</f>
        <v>5333.333333333333</v>
      </c>
      <c r="G79" s="120">
        <f>((D79)*((1+0.03)^1)/12)*B79</f>
        <v>5493.333333333333</v>
      </c>
      <c r="H79" s="120">
        <f>((D79)*((1+0.03)^2)/12)*C79</f>
        <v>2829.0666666666662</v>
      </c>
      <c r="I79" s="79">
        <f t="shared" si="8"/>
        <v>13655.733333333332</v>
      </c>
    </row>
    <row r="80" spans="1:13">
      <c r="A80" s="89">
        <v>2</v>
      </c>
      <c r="B80" s="89">
        <v>2</v>
      </c>
      <c r="C80" s="89">
        <v>1.5</v>
      </c>
      <c r="D80" s="38">
        <v>32000</v>
      </c>
      <c r="E80" s="54" t="s">
        <v>134</v>
      </c>
      <c r="F80" s="78">
        <f>$D$80/12*A80</f>
        <v>5333.333333333333</v>
      </c>
      <c r="G80" s="119">
        <f>((D80)*((1+0.03)^1)/12)*B80</f>
        <v>5493.333333333333</v>
      </c>
      <c r="H80" s="119">
        <f>((D80)*((1+0.03)^2)/12)*C80</f>
        <v>4243.5999999999995</v>
      </c>
      <c r="I80" s="78">
        <f t="shared" si="8"/>
        <v>15070.266666666666</v>
      </c>
    </row>
    <row r="81" spans="1:18">
      <c r="A81" s="89">
        <v>2</v>
      </c>
      <c r="B81" s="89">
        <v>2</v>
      </c>
      <c r="C81" s="89">
        <v>1</v>
      </c>
      <c r="D81" s="38">
        <v>32000</v>
      </c>
      <c r="E81" s="91" t="s">
        <v>135</v>
      </c>
      <c r="F81" s="78">
        <f>$D$80/12*A81</f>
        <v>5333.333333333333</v>
      </c>
      <c r="G81" s="119">
        <f>((D81)*((1+0.03)^1)/12)*B81</f>
        <v>5493.333333333333</v>
      </c>
      <c r="H81" s="119">
        <f>((D81)*((1+0.03)^2)/12)*C81</f>
        <v>2829.0666666666662</v>
      </c>
      <c r="I81" s="78">
        <f t="shared" si="8"/>
        <v>13655.733333333332</v>
      </c>
    </row>
    <row r="82" spans="1:18">
      <c r="A82"/>
      <c r="B82"/>
      <c r="C82"/>
      <c r="D82"/>
      <c r="E82" s="48" t="s">
        <v>192</v>
      </c>
      <c r="F82" s="80">
        <v>10500</v>
      </c>
      <c r="G82" s="80">
        <v>10500</v>
      </c>
      <c r="H82" s="80"/>
      <c r="I82" s="80">
        <f t="shared" si="8"/>
        <v>21000</v>
      </c>
    </row>
    <row r="83" spans="1:18">
      <c r="A83"/>
      <c r="B83"/>
      <c r="C83"/>
      <c r="E83" s="36" t="s">
        <v>69</v>
      </c>
      <c r="F83" s="81">
        <f>SUM(F78:F82)</f>
        <v>36500</v>
      </c>
      <c r="G83" s="81">
        <f>SUM(G78:G82)</f>
        <v>36980</v>
      </c>
      <c r="H83" s="81">
        <f>SUM(H78:H82)</f>
        <v>16442.73333333333</v>
      </c>
      <c r="I83" s="77">
        <f t="shared" si="8"/>
        <v>89922.733333333337</v>
      </c>
      <c r="K83" s="1"/>
      <c r="L83" s="15"/>
      <c r="M83" s="19"/>
      <c r="N83" s="15"/>
    </row>
    <row r="84" spans="1:18">
      <c r="A84"/>
      <c r="B84"/>
      <c r="C84"/>
      <c r="E84" s="44" t="s">
        <v>72</v>
      </c>
      <c r="F84" s="79">
        <f>'[1]Travel UNAM'!B11</f>
        <v>16100</v>
      </c>
      <c r="G84" s="79">
        <f>'[1]Travel UNAM'!C11</f>
        <v>14980</v>
      </c>
      <c r="H84" s="79">
        <f>'[1]Travel UNAM'!D11</f>
        <v>4300</v>
      </c>
      <c r="I84" s="79">
        <f t="shared" si="8"/>
        <v>35380</v>
      </c>
    </row>
    <row r="85" spans="1:18">
      <c r="A85"/>
      <c r="B85"/>
      <c r="C85"/>
      <c r="E85" s="36" t="s">
        <v>123</v>
      </c>
      <c r="F85" s="77"/>
      <c r="G85" s="77">
        <v>0</v>
      </c>
      <c r="H85" s="77">
        <v>0</v>
      </c>
      <c r="I85" s="77">
        <f t="shared" si="8"/>
        <v>0</v>
      </c>
    </row>
    <row r="86" spans="1:18">
      <c r="A86"/>
      <c r="B86"/>
      <c r="C86"/>
      <c r="E86" s="44" t="s">
        <v>124</v>
      </c>
      <c r="F86" s="80">
        <v>10670</v>
      </c>
      <c r="G86" s="80"/>
      <c r="H86" s="80"/>
      <c r="I86" s="79">
        <f t="shared" si="8"/>
        <v>10670</v>
      </c>
    </row>
    <row r="87" spans="1:18">
      <c r="A87"/>
      <c r="B87"/>
      <c r="C87"/>
      <c r="E87" s="36" t="s">
        <v>122</v>
      </c>
      <c r="F87" s="77">
        <v>5200</v>
      </c>
      <c r="G87" s="77"/>
      <c r="H87" s="77"/>
      <c r="I87" s="77">
        <f t="shared" si="8"/>
        <v>5200</v>
      </c>
    </row>
    <row r="88" spans="1:18">
      <c r="A88"/>
      <c r="B88"/>
      <c r="C88"/>
      <c r="E88" s="63" t="s">
        <v>125</v>
      </c>
      <c r="F88" s="80">
        <f>5107*8</f>
        <v>40856</v>
      </c>
      <c r="G88" s="80"/>
      <c r="H88" s="80"/>
      <c r="I88" s="79"/>
    </row>
    <row r="89" spans="1:18">
      <c r="A89"/>
      <c r="B89"/>
      <c r="C89"/>
      <c r="E89" s="36" t="s">
        <v>126</v>
      </c>
      <c r="F89" s="77">
        <f>SUM(F86:F88)</f>
        <v>56726</v>
      </c>
      <c r="G89" s="77"/>
      <c r="H89" s="77"/>
      <c r="I89" s="77"/>
      <c r="K89" s="39"/>
    </row>
    <row r="90" spans="1:18">
      <c r="A90"/>
      <c r="B90"/>
      <c r="C90"/>
      <c r="E90" s="63" t="s">
        <v>75</v>
      </c>
      <c r="F90" s="79"/>
      <c r="G90" s="79"/>
      <c r="H90" s="79"/>
      <c r="I90" s="79"/>
    </row>
    <row r="91" spans="1:18">
      <c r="A91"/>
      <c r="B91"/>
      <c r="C91"/>
      <c r="E91" s="36" t="s">
        <v>88</v>
      </c>
      <c r="F91" s="77">
        <v>0</v>
      </c>
      <c r="G91" s="77">
        <v>1500</v>
      </c>
      <c r="H91" s="77">
        <v>1500</v>
      </c>
      <c r="I91" s="77">
        <f>SUM(F91:H91)</f>
        <v>3000</v>
      </c>
    </row>
    <row r="92" spans="1:18">
      <c r="A92"/>
      <c r="B92"/>
      <c r="C92"/>
      <c r="E92" s="63" t="s">
        <v>97</v>
      </c>
      <c r="F92" s="79"/>
      <c r="G92" s="79"/>
      <c r="H92" s="79"/>
      <c r="I92" s="79"/>
    </row>
    <row r="93" spans="1:18">
      <c r="A93"/>
      <c r="B93"/>
      <c r="C93"/>
      <c r="E93" s="36" t="s">
        <v>101</v>
      </c>
      <c r="F93" s="77">
        <v>7100</v>
      </c>
      <c r="G93" s="77">
        <v>6700</v>
      </c>
      <c r="H93" s="77"/>
      <c r="I93" s="77">
        <f t="shared" ref="I93:I106" si="9">SUM(F93:H93)</f>
        <v>13800</v>
      </c>
    </row>
    <row r="94" spans="1:18" s="32" customFormat="1">
      <c r="A94"/>
      <c r="B94"/>
      <c r="C94"/>
      <c r="D94" s="39"/>
      <c r="E94" s="63" t="s">
        <v>103</v>
      </c>
      <c r="F94" s="79">
        <v>1750</v>
      </c>
      <c r="G94" s="79">
        <v>1750</v>
      </c>
      <c r="H94" s="79"/>
      <c r="I94" s="79">
        <f t="shared" si="9"/>
        <v>3500</v>
      </c>
      <c r="J94" s="35"/>
      <c r="K94" s="35"/>
      <c r="L94" s="35"/>
      <c r="M94" s="35"/>
      <c r="N94" s="35"/>
      <c r="O94" s="35"/>
      <c r="P94" s="35"/>
      <c r="Q94" s="35"/>
      <c r="R94" s="35"/>
    </row>
    <row r="95" spans="1:18">
      <c r="A95"/>
      <c r="B95"/>
      <c r="C95"/>
      <c r="E95" s="36" t="s">
        <v>127</v>
      </c>
      <c r="F95" s="77">
        <f>(2800*2)+(150.25*3)+(25*6)</f>
        <v>6200.75</v>
      </c>
      <c r="G95" s="77">
        <f>(150.25*3)+(25*6)</f>
        <v>600.75</v>
      </c>
      <c r="H95" s="77"/>
      <c r="I95" s="77"/>
    </row>
    <row r="96" spans="1:18">
      <c r="A96"/>
      <c r="B96"/>
      <c r="C96"/>
      <c r="E96" s="36" t="s">
        <v>137</v>
      </c>
      <c r="F96" s="77">
        <v>1000</v>
      </c>
      <c r="G96" s="77">
        <v>300</v>
      </c>
      <c r="H96" s="77"/>
      <c r="I96" s="77">
        <f t="shared" si="9"/>
        <v>1300</v>
      </c>
    </row>
    <row r="97" spans="1:9">
      <c r="A97"/>
      <c r="B97"/>
      <c r="C97"/>
      <c r="E97" s="63" t="s">
        <v>131</v>
      </c>
      <c r="F97" s="79">
        <f>(6*100)+(19*8)+(7*10)</f>
        <v>822</v>
      </c>
      <c r="G97" s="79"/>
      <c r="H97" s="79"/>
      <c r="I97" s="79"/>
    </row>
    <row r="98" spans="1:9">
      <c r="A98"/>
      <c r="B98"/>
      <c r="C98"/>
      <c r="E98" s="36" t="s">
        <v>128</v>
      </c>
      <c r="F98" s="77">
        <f>10*45</f>
        <v>450</v>
      </c>
      <c r="G98" s="77"/>
      <c r="H98" s="77"/>
      <c r="I98" s="77"/>
    </row>
    <row r="99" spans="1:9">
      <c r="A99"/>
      <c r="B99"/>
      <c r="C99"/>
      <c r="E99" s="63" t="s">
        <v>120</v>
      </c>
      <c r="F99" s="79">
        <v>3500</v>
      </c>
      <c r="G99" s="79"/>
      <c r="H99" s="79"/>
      <c r="I99" s="79"/>
    </row>
    <row r="100" spans="1:9">
      <c r="A100"/>
      <c r="B100"/>
      <c r="C100"/>
      <c r="E100" s="36" t="s">
        <v>121</v>
      </c>
      <c r="F100" s="77">
        <v>1600</v>
      </c>
      <c r="G100" s="77"/>
      <c r="H100" s="77"/>
      <c r="I100" s="77">
        <f>SUM(F100:H100)</f>
        <v>1600</v>
      </c>
    </row>
    <row r="101" spans="1:9">
      <c r="A101"/>
      <c r="B101"/>
      <c r="C101"/>
      <c r="E101" s="63" t="s">
        <v>130</v>
      </c>
      <c r="F101" s="79">
        <f>(1000*8)+(600*2)+(370*8)</f>
        <v>12160</v>
      </c>
      <c r="G101" s="80"/>
      <c r="H101" s="80"/>
      <c r="I101" s="80"/>
    </row>
    <row r="102" spans="1:9">
      <c r="A102"/>
      <c r="B102"/>
      <c r="C102"/>
      <c r="E102" s="63" t="s">
        <v>136</v>
      </c>
      <c r="F102" s="79">
        <v>3700</v>
      </c>
      <c r="G102" s="80"/>
      <c r="H102" s="80"/>
      <c r="I102" s="79">
        <f t="shared" si="9"/>
        <v>3700</v>
      </c>
    </row>
    <row r="103" spans="1:9">
      <c r="A103"/>
      <c r="B103"/>
      <c r="C103"/>
      <c r="E103" s="36" t="s">
        <v>129</v>
      </c>
      <c r="F103" s="77">
        <f>32*10</f>
        <v>320</v>
      </c>
      <c r="G103" s="77">
        <v>320</v>
      </c>
      <c r="H103" s="77"/>
      <c r="I103" s="77"/>
    </row>
    <row r="104" spans="1:9">
      <c r="A104"/>
      <c r="B104"/>
      <c r="C104"/>
      <c r="E104" s="63" t="s">
        <v>98</v>
      </c>
      <c r="F104" s="79">
        <f>SUM(F93:F103)</f>
        <v>38602.75</v>
      </c>
      <c r="G104" s="79">
        <f>SUM(G93:G103)</f>
        <v>9670.75</v>
      </c>
      <c r="H104" s="79">
        <f>SUM(H93:H100)</f>
        <v>0</v>
      </c>
      <c r="I104" s="79">
        <f>SUM(F104:H104)</f>
        <v>48273.5</v>
      </c>
    </row>
    <row r="105" spans="1:9">
      <c r="A105"/>
      <c r="B105"/>
      <c r="C105"/>
      <c r="E105" s="36" t="s">
        <v>76</v>
      </c>
      <c r="F105" s="77">
        <f>SUM(F91+F104)</f>
        <v>38602.75</v>
      </c>
      <c r="G105" s="77">
        <f>SUM(G91+G104)</f>
        <v>11170.75</v>
      </c>
      <c r="H105" s="77">
        <f>SUM(H91+H104)</f>
        <v>1500</v>
      </c>
      <c r="I105" s="77">
        <f t="shared" si="9"/>
        <v>51273.5</v>
      </c>
    </row>
    <row r="106" spans="1:9" s="61" customFormat="1">
      <c r="A106" s="6"/>
      <c r="B106" s="6"/>
      <c r="C106" s="6"/>
      <c r="D106" s="62"/>
      <c r="E106" s="65" t="s">
        <v>102</v>
      </c>
      <c r="F106" s="65">
        <f>SUM(F105+F89+F84+F83)</f>
        <v>147928.75</v>
      </c>
      <c r="G106" s="65">
        <f>SUM(G105+G85+G84+G83)</f>
        <v>63130.75</v>
      </c>
      <c r="H106" s="65">
        <f>SUM(H105+H85+H84+H83)</f>
        <v>22242.73333333333</v>
      </c>
      <c r="I106" s="121">
        <f t="shared" si="9"/>
        <v>233302.23333333334</v>
      </c>
    </row>
  </sheetData>
  <mergeCells count="2">
    <mergeCell ref="A2:C2"/>
    <mergeCell ref="A35:C35"/>
  </mergeCells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31"/>
  <sheetViews>
    <sheetView workbookViewId="0">
      <pane xSplit="2" topLeftCell="C1" activePane="topRight" state="frozen"/>
      <selection pane="topRight" activeCell="E22" sqref="E22"/>
    </sheetView>
  </sheetViews>
  <sheetFormatPr baseColWidth="10" defaultRowHeight="16" x14ac:dyDescent="0"/>
  <cols>
    <col min="1" max="1" width="21.75" customWidth="1"/>
    <col min="2" max="2" width="21.875" customWidth="1"/>
    <col min="3" max="4" width="18.5" customWidth="1"/>
    <col min="5" max="5" width="15.875" customWidth="1"/>
    <col min="6" max="6" width="17.875" customWidth="1"/>
    <col min="7" max="7" width="13.375" customWidth="1"/>
    <col min="11" max="11" width="19.625" customWidth="1"/>
  </cols>
  <sheetData>
    <row r="1" spans="1:11" s="6" customFormat="1">
      <c r="B1" s="6" t="s">
        <v>143</v>
      </c>
      <c r="C1" s="6" t="s">
        <v>163</v>
      </c>
      <c r="D1" s="6" t="s">
        <v>167</v>
      </c>
      <c r="E1" s="6" t="s">
        <v>154</v>
      </c>
      <c r="F1" s="6" t="s">
        <v>158</v>
      </c>
      <c r="G1" s="6" t="s">
        <v>153</v>
      </c>
      <c r="H1" s="6" t="s">
        <v>152</v>
      </c>
      <c r="I1" s="6" t="s">
        <v>144</v>
      </c>
      <c r="J1" s="6" t="s">
        <v>145</v>
      </c>
      <c r="K1" s="6" t="s">
        <v>166</v>
      </c>
    </row>
    <row r="2" spans="1:11">
      <c r="A2" s="97" t="s">
        <v>157</v>
      </c>
      <c r="F2">
        <v>55</v>
      </c>
    </row>
    <row r="3" spans="1:11">
      <c r="A3" s="97" t="s">
        <v>156</v>
      </c>
      <c r="F3">
        <v>191</v>
      </c>
    </row>
    <row r="4" spans="1:11">
      <c r="A4" s="97" t="s">
        <v>155</v>
      </c>
      <c r="F4">
        <f>197+71</f>
        <v>268</v>
      </c>
    </row>
    <row r="5" spans="1:11">
      <c r="A5" s="97"/>
    </row>
    <row r="6" spans="1:11">
      <c r="A6" s="97" t="s">
        <v>164</v>
      </c>
      <c r="D6">
        <v>854</v>
      </c>
    </row>
    <row r="7" spans="1:11">
      <c r="A7" s="97" t="s">
        <v>165</v>
      </c>
      <c r="D7" s="98">
        <v>1000</v>
      </c>
    </row>
    <row r="8" spans="1:11">
      <c r="A8" s="97" t="s">
        <v>207</v>
      </c>
      <c r="D8" s="138">
        <v>1500</v>
      </c>
    </row>
    <row r="10" spans="1:11">
      <c r="A10" t="s">
        <v>142</v>
      </c>
      <c r="B10" t="s">
        <v>221</v>
      </c>
      <c r="C10">
        <v>2</v>
      </c>
      <c r="D10">
        <f>D6</f>
        <v>854</v>
      </c>
      <c r="E10">
        <v>14</v>
      </c>
      <c r="F10">
        <f>$F$2</f>
        <v>55</v>
      </c>
      <c r="G10">
        <f t="shared" ref="G10:G17" si="0">E10*F10</f>
        <v>770</v>
      </c>
      <c r="H10" s="138">
        <f>C10*(G10+D10)</f>
        <v>3248</v>
      </c>
    </row>
    <row r="11" spans="1:11">
      <c r="B11" t="s">
        <v>149</v>
      </c>
      <c r="C11">
        <v>1</v>
      </c>
      <c r="D11" s="138">
        <f>D8</f>
        <v>1500</v>
      </c>
      <c r="E11">
        <v>14</v>
      </c>
      <c r="F11">
        <f>F2</f>
        <v>55</v>
      </c>
      <c r="G11">
        <f>E11*F11</f>
        <v>770</v>
      </c>
      <c r="H11" s="138">
        <f>G11+D11</f>
        <v>2270</v>
      </c>
    </row>
    <row r="12" spans="1:11">
      <c r="B12" t="s">
        <v>150</v>
      </c>
      <c r="C12">
        <v>1</v>
      </c>
      <c r="D12">
        <f>D6</f>
        <v>854</v>
      </c>
      <c r="E12">
        <v>30</v>
      </c>
      <c r="F12">
        <f>$F$2</f>
        <v>55</v>
      </c>
      <c r="G12">
        <f t="shared" si="0"/>
        <v>1650</v>
      </c>
      <c r="H12">
        <f>C12*(D12+G12)</f>
        <v>2504</v>
      </c>
    </row>
    <row r="13" spans="1:11">
      <c r="B13" t="s">
        <v>151</v>
      </c>
      <c r="C13">
        <v>1</v>
      </c>
      <c r="D13">
        <f>D6</f>
        <v>854</v>
      </c>
      <c r="E13">
        <v>14</v>
      </c>
      <c r="F13">
        <f>$F$2</f>
        <v>55</v>
      </c>
      <c r="I13">
        <f>D13+E13*F13</f>
        <v>1624</v>
      </c>
    </row>
    <row r="14" spans="1:11">
      <c r="B14" t="s">
        <v>150</v>
      </c>
      <c r="C14">
        <v>1</v>
      </c>
      <c r="D14">
        <f>D6</f>
        <v>854</v>
      </c>
      <c r="E14">
        <v>14</v>
      </c>
      <c r="F14">
        <f>$F$2</f>
        <v>55</v>
      </c>
      <c r="G14">
        <f t="shared" si="0"/>
        <v>770</v>
      </c>
      <c r="I14">
        <f>C14*(D14+G14)</f>
        <v>1624</v>
      </c>
    </row>
    <row r="15" spans="1:11">
      <c r="A15" t="s">
        <v>146</v>
      </c>
      <c r="B15" t="s">
        <v>185</v>
      </c>
      <c r="C15">
        <v>1</v>
      </c>
      <c r="D15" s="98">
        <f>D7</f>
        <v>1000</v>
      </c>
      <c r="E15">
        <v>3</v>
      </c>
      <c r="F15">
        <f>F4</f>
        <v>268</v>
      </c>
      <c r="G15">
        <f t="shared" si="0"/>
        <v>804</v>
      </c>
      <c r="H15" s="98">
        <f>$G$15+$D$15</f>
        <v>1804</v>
      </c>
      <c r="I15" s="98">
        <f t="shared" ref="I15:J15" si="1">$G$15+$D$15</f>
        <v>1804</v>
      </c>
      <c r="J15" s="98">
        <f t="shared" si="1"/>
        <v>1804</v>
      </c>
      <c r="K15" s="98">
        <f>SUM(H15:J15)</f>
        <v>5412</v>
      </c>
    </row>
    <row r="16" spans="1:11" s="20" customFormat="1">
      <c r="A16" s="20" t="s">
        <v>147</v>
      </c>
      <c r="B16" s="20" t="s">
        <v>160</v>
      </c>
      <c r="C16" s="20">
        <v>1</v>
      </c>
      <c r="D16" s="103">
        <f>D8</f>
        <v>1500</v>
      </c>
      <c r="E16" s="20">
        <v>4</v>
      </c>
      <c r="F16" s="20">
        <f>F4</f>
        <v>268</v>
      </c>
      <c r="G16" s="20">
        <f t="shared" si="0"/>
        <v>1072</v>
      </c>
      <c r="I16" s="103">
        <f>G16+D16+500+100</f>
        <v>3172</v>
      </c>
    </row>
    <row r="17" spans="1:11" s="20" customFormat="1">
      <c r="B17" s="20" t="s">
        <v>151</v>
      </c>
      <c r="C17" s="20">
        <v>1</v>
      </c>
      <c r="D17" s="103">
        <f>D8</f>
        <v>1500</v>
      </c>
      <c r="E17" s="20">
        <v>4</v>
      </c>
      <c r="F17" s="20">
        <f>F4</f>
        <v>268</v>
      </c>
      <c r="G17" s="20">
        <f t="shared" si="0"/>
        <v>1072</v>
      </c>
      <c r="J17" s="103">
        <f>I16</f>
        <v>3172</v>
      </c>
    </row>
    <row r="18" spans="1:11" s="99" customFormat="1">
      <c r="A18" s="99" t="s">
        <v>148</v>
      </c>
      <c r="B18" s="99" t="s">
        <v>161</v>
      </c>
      <c r="C18" s="99">
        <v>1</v>
      </c>
      <c r="G18" s="99">
        <v>2000</v>
      </c>
      <c r="H18" s="99">
        <v>2000</v>
      </c>
    </row>
    <row r="19" spans="1:11" s="99" customFormat="1">
      <c r="B19" s="99" t="s">
        <v>162</v>
      </c>
      <c r="C19" s="99">
        <v>1</v>
      </c>
      <c r="G19" s="99">
        <v>2000</v>
      </c>
      <c r="I19" s="99">
        <f>G19*C19</f>
        <v>2000</v>
      </c>
    </row>
    <row r="20" spans="1:11" s="99" customFormat="1">
      <c r="B20" s="99" t="s">
        <v>150</v>
      </c>
      <c r="C20" s="99">
        <v>1</v>
      </c>
      <c r="G20" s="99">
        <v>2000</v>
      </c>
      <c r="J20" s="99">
        <f>G20*C20</f>
        <v>2000</v>
      </c>
    </row>
    <row r="21" spans="1:11">
      <c r="A21" t="s">
        <v>159</v>
      </c>
      <c r="B21" t="s">
        <v>149</v>
      </c>
      <c r="C21">
        <v>1</v>
      </c>
      <c r="D21" s="98">
        <f>D7</f>
        <v>1000</v>
      </c>
      <c r="E21">
        <v>31</v>
      </c>
      <c r="F21">
        <f>A31</f>
        <v>83.333333333333329</v>
      </c>
      <c r="G21">
        <f>E21*F21</f>
        <v>2583.333333333333</v>
      </c>
      <c r="H21" s="98"/>
      <c r="J21" s="98">
        <f>G21+D21</f>
        <v>3583.333333333333</v>
      </c>
    </row>
    <row r="22" spans="1:11" s="99" customFormat="1">
      <c r="A22" s="99" t="s">
        <v>168</v>
      </c>
      <c r="H22" s="99">
        <f>H18</f>
        <v>2000</v>
      </c>
      <c r="I22" s="99">
        <f>I19</f>
        <v>2000</v>
      </c>
      <c r="J22" s="99">
        <f>J20</f>
        <v>2000</v>
      </c>
      <c r="K22" s="99">
        <f>SUM(H22:J22)</f>
        <v>6000</v>
      </c>
    </row>
    <row r="23" spans="1:11" s="100" customFormat="1">
      <c r="A23" s="100" t="s">
        <v>169</v>
      </c>
      <c r="H23" s="144">
        <f>SUM(H10:H17)+SUM(H21:H21)</f>
        <v>9826</v>
      </c>
      <c r="I23" s="144">
        <f>SUM(I10:I17)+SUM(I21:I21)</f>
        <v>8224</v>
      </c>
      <c r="J23" s="144">
        <f>SUM(J10:J17)+SUM(J21:J21)</f>
        <v>8559.3333333333321</v>
      </c>
      <c r="K23" s="100">
        <f>SUM(H23:J23)</f>
        <v>26609.333333333332</v>
      </c>
    </row>
    <row r="24" spans="1:11" s="20" customFormat="1">
      <c r="K24" s="20">
        <f>SUM(K22:K23)</f>
        <v>32609.333333333332</v>
      </c>
    </row>
    <row r="25" spans="1:11">
      <c r="G25" t="s">
        <v>62</v>
      </c>
      <c r="H25">
        <f>SUM(H10:H21)</f>
        <v>11826</v>
      </c>
      <c r="I25">
        <f>SUM(I10:I21)</f>
        <v>10224</v>
      </c>
      <c r="J25">
        <f>SUM(J10:J21)</f>
        <v>10559.333333333332</v>
      </c>
      <c r="K25" s="6">
        <f>SUM(H25:J25)</f>
        <v>32609.333333333332</v>
      </c>
    </row>
    <row r="28" spans="1:11">
      <c r="A28" s="97" t="s">
        <v>212</v>
      </c>
    </row>
    <row r="29" spans="1:11">
      <c r="A29" t="s">
        <v>210</v>
      </c>
    </row>
    <row r="30" spans="1:11">
      <c r="A30">
        <f>(2000+115+385)</f>
        <v>2500</v>
      </c>
      <c r="B30" t="s">
        <v>208</v>
      </c>
    </row>
    <row r="31" spans="1:11">
      <c r="A31">
        <f>A30/30</f>
        <v>83.333333333333329</v>
      </c>
      <c r="B31" t="s">
        <v>211</v>
      </c>
    </row>
  </sheetData>
  <phoneticPr fontId="3" type="noConversion"/>
  <pageMargins left="0.75" right="0.75" top="1" bottom="1" header="0.5" footer="0.5"/>
  <pageSetup scale="34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B17" sqref="B17"/>
    </sheetView>
  </sheetViews>
  <sheetFormatPr baseColWidth="10" defaultRowHeight="16" x14ac:dyDescent="0"/>
  <cols>
    <col min="1" max="1" width="36.5" customWidth="1"/>
    <col min="2" max="2" width="12.375" customWidth="1"/>
    <col min="3" max="3" width="15.625" customWidth="1"/>
    <col min="4" max="4" width="18.25" customWidth="1"/>
    <col min="5" max="5" width="19.75" customWidth="1"/>
    <col min="7" max="7" width="14.375" customWidth="1"/>
  </cols>
  <sheetData>
    <row r="1" spans="1:10" s="6" customFormat="1">
      <c r="B1" s="6" t="s">
        <v>163</v>
      </c>
      <c r="C1" s="6" t="s">
        <v>167</v>
      </c>
      <c r="D1" s="6" t="s">
        <v>154</v>
      </c>
      <c r="E1" s="6" t="s">
        <v>158</v>
      </c>
      <c r="F1" s="6" t="s">
        <v>153</v>
      </c>
      <c r="G1" s="6" t="s">
        <v>152</v>
      </c>
      <c r="H1" s="6" t="s">
        <v>144</v>
      </c>
      <c r="I1" s="6" t="s">
        <v>145</v>
      </c>
      <c r="J1" s="6" t="s">
        <v>176</v>
      </c>
    </row>
    <row r="2" spans="1:10">
      <c r="A2" t="s">
        <v>175</v>
      </c>
      <c r="B2">
        <v>2</v>
      </c>
      <c r="C2">
        <v>854</v>
      </c>
      <c r="D2">
        <v>90</v>
      </c>
      <c r="E2">
        <f>A12</f>
        <v>83.333333333333329</v>
      </c>
      <c r="F2">
        <f>(D2*E2+C2)</f>
        <v>8354</v>
      </c>
      <c r="H2">
        <f>F2</f>
        <v>8354</v>
      </c>
      <c r="I2">
        <f>F2</f>
        <v>8354</v>
      </c>
    </row>
    <row r="3" spans="1:10">
      <c r="A3" t="s">
        <v>177</v>
      </c>
      <c r="B3">
        <v>2</v>
      </c>
      <c r="C3">
        <f>'EHA travel'!D6</f>
        <v>854</v>
      </c>
      <c r="D3">
        <v>14</v>
      </c>
      <c r="E3">
        <f>'EHA travel'!$F$2</f>
        <v>55</v>
      </c>
      <c r="F3">
        <f>D3*E3</f>
        <v>770</v>
      </c>
      <c r="H3">
        <f>B3*(C3+F3)</f>
        <v>3248</v>
      </c>
    </row>
    <row r="4" spans="1:10">
      <c r="A4" t="s">
        <v>214</v>
      </c>
      <c r="B4">
        <v>2</v>
      </c>
      <c r="C4" t="s">
        <v>213</v>
      </c>
      <c r="D4">
        <v>14</v>
      </c>
      <c r="E4">
        <f>'EHA travel'!$F$2</f>
        <v>55</v>
      </c>
      <c r="F4">
        <f>D4*E4</f>
        <v>770</v>
      </c>
      <c r="G4">
        <f>F4</f>
        <v>770</v>
      </c>
      <c r="H4">
        <f>F4</f>
        <v>770</v>
      </c>
    </row>
    <row r="5" spans="1:10">
      <c r="A5" t="s">
        <v>183</v>
      </c>
      <c r="B5">
        <v>1</v>
      </c>
      <c r="C5">
        <f>'EHA travel'!D6</f>
        <v>854</v>
      </c>
      <c r="D5">
        <v>14</v>
      </c>
      <c r="E5">
        <f>'EHA travel'!$F$2</f>
        <v>55</v>
      </c>
      <c r="F5">
        <f>D5*E5</f>
        <v>770</v>
      </c>
      <c r="G5">
        <f>B5*(C5+F5)</f>
        <v>1624</v>
      </c>
    </row>
    <row r="6" spans="1:10">
      <c r="A6" t="s">
        <v>178</v>
      </c>
      <c r="B6">
        <v>2</v>
      </c>
      <c r="C6">
        <f>'EHA travel'!D6</f>
        <v>854</v>
      </c>
      <c r="D6">
        <v>14</v>
      </c>
      <c r="E6">
        <f>'EHA travel'!$F$2</f>
        <v>55</v>
      </c>
      <c r="F6">
        <f>D6*E6</f>
        <v>770</v>
      </c>
      <c r="G6">
        <f>B6*(C6+F6)</f>
        <v>3248</v>
      </c>
    </row>
    <row r="7" spans="1:10">
      <c r="A7" s="104" t="s">
        <v>179</v>
      </c>
      <c r="D7" s="106">
        <v>0</v>
      </c>
      <c r="E7" s="105"/>
      <c r="G7" s="105">
        <v>10000</v>
      </c>
      <c r="H7" s="105">
        <v>5000</v>
      </c>
      <c r="I7" s="105">
        <v>0</v>
      </c>
    </row>
    <row r="8" spans="1:10">
      <c r="G8">
        <f>SUM(G2:G7)</f>
        <v>15642</v>
      </c>
      <c r="H8" s="98">
        <f>SUM(H2:H7)</f>
        <v>17372</v>
      </c>
      <c r="I8" s="98">
        <f>SUM(I2:I7)</f>
        <v>8354</v>
      </c>
      <c r="J8">
        <f>SUM(G8:I8)</f>
        <v>41368</v>
      </c>
    </row>
    <row r="9" spans="1:10">
      <c r="A9" s="97" t="s">
        <v>209</v>
      </c>
    </row>
    <row r="10" spans="1:10">
      <c r="A10" t="s">
        <v>210</v>
      </c>
    </row>
    <row r="11" spans="1:10">
      <c r="A11">
        <f>(2000+115+385)</f>
        <v>2500</v>
      </c>
      <c r="B11" t="s">
        <v>208</v>
      </c>
    </row>
    <row r="12" spans="1:10">
      <c r="A12">
        <f>A11/30</f>
        <v>83.333333333333329</v>
      </c>
      <c r="B12" t="s">
        <v>211</v>
      </c>
    </row>
    <row r="16" spans="1:10">
      <c r="A16" t="s">
        <v>216</v>
      </c>
      <c r="B16">
        <f>G6/2</f>
        <v>1624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46"/>
  <sheetViews>
    <sheetView workbookViewId="0">
      <selection activeCell="F29" sqref="F29"/>
    </sheetView>
  </sheetViews>
  <sheetFormatPr baseColWidth="10" defaultRowHeight="16" x14ac:dyDescent="0"/>
  <cols>
    <col min="1" max="1" width="30.5" customWidth="1"/>
    <col min="2" max="2" width="15.75" customWidth="1"/>
    <col min="3" max="3" width="15.375" customWidth="1"/>
    <col min="4" max="4" width="20.125" customWidth="1"/>
  </cols>
  <sheetData>
    <row r="1" spans="1:10">
      <c r="A1" s="6"/>
      <c r="B1" s="6" t="s">
        <v>143</v>
      </c>
      <c r="C1" s="6" t="s">
        <v>154</v>
      </c>
      <c r="D1" s="6" t="s">
        <v>158</v>
      </c>
      <c r="E1" s="6" t="s">
        <v>153</v>
      </c>
      <c r="F1" s="6" t="s">
        <v>152</v>
      </c>
      <c r="G1" s="6" t="s">
        <v>144</v>
      </c>
      <c r="H1" s="6" t="s">
        <v>145</v>
      </c>
      <c r="I1" s="6" t="s">
        <v>172</v>
      </c>
      <c r="J1" s="6"/>
    </row>
    <row r="2" spans="1:10">
      <c r="A2" s="97" t="s">
        <v>157</v>
      </c>
      <c r="D2">
        <v>55</v>
      </c>
    </row>
    <row r="3" spans="1:10">
      <c r="A3" s="97" t="s">
        <v>155</v>
      </c>
      <c r="D3">
        <f>197+71</f>
        <v>268</v>
      </c>
      <c r="F3" s="112"/>
    </row>
    <row r="4" spans="1:10">
      <c r="A4" s="97" t="s">
        <v>164</v>
      </c>
      <c r="D4">
        <v>854</v>
      </c>
    </row>
    <row r="5" spans="1:10">
      <c r="A5" s="97"/>
    </row>
    <row r="6" spans="1:10">
      <c r="A6" t="s">
        <v>142</v>
      </c>
      <c r="B6" t="s">
        <v>41</v>
      </c>
      <c r="C6">
        <v>30</v>
      </c>
      <c r="D6">
        <f>$D$2</f>
        <v>55</v>
      </c>
      <c r="E6">
        <f>C6*D6</f>
        <v>1650</v>
      </c>
      <c r="F6">
        <f>E6</f>
        <v>1650</v>
      </c>
    </row>
    <row r="7" spans="1:10">
      <c r="C7">
        <v>30</v>
      </c>
      <c r="D7">
        <f t="shared" ref="D7:D25" si="0">$D$2</f>
        <v>55</v>
      </c>
      <c r="E7">
        <f t="shared" ref="E7:E25" si="1">C7*D7</f>
        <v>1650</v>
      </c>
      <c r="F7">
        <f>E7</f>
        <v>1650</v>
      </c>
    </row>
    <row r="8" spans="1:10">
      <c r="C8">
        <v>14</v>
      </c>
      <c r="D8">
        <f t="shared" si="0"/>
        <v>55</v>
      </c>
      <c r="E8">
        <f t="shared" si="1"/>
        <v>770</v>
      </c>
      <c r="G8">
        <f>E8</f>
        <v>770</v>
      </c>
    </row>
    <row r="9" spans="1:10">
      <c r="C9">
        <v>14</v>
      </c>
      <c r="D9">
        <f t="shared" si="0"/>
        <v>55</v>
      </c>
      <c r="E9">
        <f t="shared" si="1"/>
        <v>770</v>
      </c>
      <c r="G9">
        <f>E9</f>
        <v>770</v>
      </c>
    </row>
    <row r="10" spans="1:10">
      <c r="B10" t="s">
        <v>44</v>
      </c>
      <c r="C10">
        <v>30</v>
      </c>
      <c r="D10">
        <f t="shared" si="0"/>
        <v>55</v>
      </c>
      <c r="E10">
        <f t="shared" si="1"/>
        <v>1650</v>
      </c>
      <c r="F10">
        <f>E10</f>
        <v>1650</v>
      </c>
    </row>
    <row r="11" spans="1:10">
      <c r="C11">
        <v>30</v>
      </c>
      <c r="D11">
        <f t="shared" si="0"/>
        <v>55</v>
      </c>
      <c r="E11">
        <f t="shared" si="1"/>
        <v>1650</v>
      </c>
      <c r="F11">
        <f>E11</f>
        <v>1650</v>
      </c>
    </row>
    <row r="12" spans="1:10">
      <c r="C12">
        <v>14</v>
      </c>
      <c r="D12">
        <f t="shared" si="0"/>
        <v>55</v>
      </c>
      <c r="E12">
        <f t="shared" si="1"/>
        <v>770</v>
      </c>
      <c r="G12">
        <f>E12</f>
        <v>770</v>
      </c>
    </row>
    <row r="13" spans="1:10">
      <c r="C13">
        <v>14</v>
      </c>
      <c r="D13">
        <f t="shared" si="0"/>
        <v>55</v>
      </c>
      <c r="E13">
        <f t="shared" si="1"/>
        <v>770</v>
      </c>
      <c r="G13">
        <f>E13</f>
        <v>770</v>
      </c>
    </row>
    <row r="14" spans="1:10">
      <c r="B14" t="s">
        <v>170</v>
      </c>
      <c r="C14">
        <v>30</v>
      </c>
      <c r="D14">
        <f t="shared" si="0"/>
        <v>55</v>
      </c>
      <c r="E14">
        <f t="shared" si="1"/>
        <v>1650</v>
      </c>
      <c r="F14">
        <f>E14</f>
        <v>1650</v>
      </c>
    </row>
    <row r="15" spans="1:10">
      <c r="C15">
        <v>30</v>
      </c>
      <c r="D15">
        <f t="shared" si="0"/>
        <v>55</v>
      </c>
      <c r="E15">
        <f t="shared" si="1"/>
        <v>1650</v>
      </c>
      <c r="F15">
        <f>E15</f>
        <v>1650</v>
      </c>
    </row>
    <row r="16" spans="1:10">
      <c r="C16">
        <v>14</v>
      </c>
      <c r="D16">
        <f t="shared" si="0"/>
        <v>55</v>
      </c>
      <c r="E16">
        <f t="shared" si="1"/>
        <v>770</v>
      </c>
      <c r="G16">
        <f>E16</f>
        <v>770</v>
      </c>
    </row>
    <row r="17" spans="1:14">
      <c r="C17">
        <v>14</v>
      </c>
      <c r="D17">
        <f t="shared" si="0"/>
        <v>55</v>
      </c>
      <c r="E17">
        <f t="shared" si="1"/>
        <v>770</v>
      </c>
      <c r="G17">
        <f>E17</f>
        <v>770</v>
      </c>
    </row>
    <row r="18" spans="1:14" s="20" customFormat="1">
      <c r="B18" s="20" t="s">
        <v>171</v>
      </c>
      <c r="C18" s="20">
        <v>30</v>
      </c>
      <c r="D18" s="20">
        <f t="shared" si="0"/>
        <v>55</v>
      </c>
      <c r="E18" s="20">
        <f t="shared" si="1"/>
        <v>1650</v>
      </c>
      <c r="F18" s="20">
        <f>E18</f>
        <v>1650</v>
      </c>
    </row>
    <row r="19" spans="1:14" s="20" customFormat="1">
      <c r="C19" s="20">
        <v>30</v>
      </c>
      <c r="D19" s="20">
        <f t="shared" si="0"/>
        <v>55</v>
      </c>
      <c r="E19" s="20">
        <f t="shared" si="1"/>
        <v>1650</v>
      </c>
      <c r="F19" s="20">
        <f>E19</f>
        <v>1650</v>
      </c>
    </row>
    <row r="20" spans="1:14" s="20" customFormat="1">
      <c r="C20" s="20">
        <v>14</v>
      </c>
      <c r="D20" s="20">
        <f t="shared" si="0"/>
        <v>55</v>
      </c>
      <c r="E20" s="20">
        <f t="shared" si="1"/>
        <v>770</v>
      </c>
      <c r="G20" s="20">
        <f>E20</f>
        <v>770</v>
      </c>
    </row>
    <row r="21" spans="1:14" s="20" customFormat="1">
      <c r="C21" s="20">
        <v>14</v>
      </c>
      <c r="D21" s="20">
        <f t="shared" si="0"/>
        <v>55</v>
      </c>
      <c r="E21" s="20">
        <f t="shared" si="1"/>
        <v>770</v>
      </c>
      <c r="G21" s="20">
        <f>E21</f>
        <v>770</v>
      </c>
    </row>
    <row r="22" spans="1:14">
      <c r="B22" t="s">
        <v>194</v>
      </c>
      <c r="C22">
        <v>30</v>
      </c>
      <c r="D22">
        <f t="shared" si="0"/>
        <v>55</v>
      </c>
      <c r="E22">
        <f t="shared" si="1"/>
        <v>1650</v>
      </c>
      <c r="F22">
        <f>E22*4</f>
        <v>6600</v>
      </c>
    </row>
    <row r="23" spans="1:14">
      <c r="C23">
        <v>30</v>
      </c>
      <c r="D23">
        <f t="shared" si="0"/>
        <v>55</v>
      </c>
      <c r="E23">
        <f t="shared" si="1"/>
        <v>1650</v>
      </c>
      <c r="F23">
        <f>E23*4</f>
        <v>6600</v>
      </c>
    </row>
    <row r="24" spans="1:14">
      <c r="A24" s="20"/>
      <c r="B24" s="20"/>
      <c r="C24" s="20">
        <v>14</v>
      </c>
      <c r="D24">
        <f t="shared" si="0"/>
        <v>55</v>
      </c>
      <c r="E24">
        <f t="shared" si="1"/>
        <v>770</v>
      </c>
      <c r="F24" s="20"/>
      <c r="G24" s="20">
        <f>E24*4</f>
        <v>3080</v>
      </c>
      <c r="H24" s="20"/>
      <c r="I24" s="20"/>
      <c r="J24" s="20"/>
      <c r="K24" s="20"/>
      <c r="L24" s="20"/>
      <c r="M24" s="20"/>
      <c r="N24" s="20"/>
    </row>
    <row r="25" spans="1:14">
      <c r="A25" s="20"/>
      <c r="B25" s="20"/>
      <c r="C25">
        <v>14</v>
      </c>
      <c r="D25">
        <f t="shared" si="0"/>
        <v>55</v>
      </c>
      <c r="E25">
        <f t="shared" si="1"/>
        <v>770</v>
      </c>
      <c r="G25" s="20">
        <f>E25*4</f>
        <v>3080</v>
      </c>
      <c r="H25" s="20"/>
      <c r="I25" s="20"/>
      <c r="J25" s="20"/>
      <c r="K25" s="20"/>
      <c r="L25" s="20"/>
      <c r="M25" s="20"/>
      <c r="N25" s="20"/>
    </row>
    <row r="26" spans="1:14" s="20" customFormat="1">
      <c r="A26" s="20" t="s">
        <v>205</v>
      </c>
      <c r="C26"/>
      <c r="F26" s="103">
        <f>B44*2</f>
        <v>4712</v>
      </c>
      <c r="G26" s="103">
        <f>B43*2</f>
        <v>2712</v>
      </c>
    </row>
    <row r="27" spans="1:14" s="140" customFormat="1">
      <c r="A27" s="140" t="s">
        <v>217</v>
      </c>
      <c r="C27" s="97"/>
      <c r="F27" s="141">
        <f>SUM(F10+F14+F18+F22+F6)+B44</f>
        <v>15556</v>
      </c>
      <c r="G27" s="141">
        <f>SUM(G8+G12+G16+G20+G24)+B43</f>
        <v>7516</v>
      </c>
    </row>
    <row r="28" spans="1:14" s="113" customFormat="1">
      <c r="A28" s="114" t="s">
        <v>146</v>
      </c>
      <c r="B28" s="114" t="s">
        <v>41</v>
      </c>
      <c r="C28" s="114">
        <v>7</v>
      </c>
      <c r="D28" s="114">
        <f>D3</f>
        <v>268</v>
      </c>
      <c r="E28" s="114">
        <f>C28*D28</f>
        <v>1876</v>
      </c>
      <c r="F28" s="114">
        <f>$E$28+854</f>
        <v>2730</v>
      </c>
      <c r="G28" s="114">
        <f t="shared" ref="G28:H28" si="2">$E$28+854</f>
        <v>2730</v>
      </c>
      <c r="H28" s="114">
        <f t="shared" si="2"/>
        <v>2730</v>
      </c>
      <c r="I28" s="114"/>
      <c r="J28" s="114"/>
      <c r="K28" s="114"/>
      <c r="N28" s="122"/>
    </row>
    <row r="29" spans="1:14" s="20" customFormat="1">
      <c r="A29" s="20" t="s">
        <v>173</v>
      </c>
      <c r="B29" s="20" t="s">
        <v>41</v>
      </c>
      <c r="E29" s="103"/>
      <c r="H29" s="103">
        <f>E29</f>
        <v>0</v>
      </c>
    </row>
    <row r="30" spans="1:14">
      <c r="A30" s="20"/>
      <c r="B30" s="20"/>
      <c r="C30" s="20"/>
      <c r="D30" s="20"/>
      <c r="E30" s="20"/>
      <c r="F30" s="20"/>
      <c r="H30" s="20"/>
      <c r="I30" s="20"/>
      <c r="J30" s="20"/>
      <c r="K30" s="20"/>
      <c r="L30" s="20"/>
      <c r="M30" s="20"/>
      <c r="N30" s="20"/>
    </row>
    <row r="31" spans="1:14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 s="6" customFormat="1">
      <c r="E34" s="6" t="s">
        <v>62</v>
      </c>
      <c r="F34" s="6">
        <f>SUM(F6:F29)</f>
        <v>49398</v>
      </c>
      <c r="G34" s="6">
        <f>SUM(G6:G29)</f>
        <v>25278</v>
      </c>
      <c r="H34" s="6">
        <f>SUM(H6:H29)</f>
        <v>2730</v>
      </c>
      <c r="I34" s="6">
        <f>SUM(F34:H34)</f>
        <v>77406</v>
      </c>
    </row>
    <row r="36" spans="1:14">
      <c r="A36" s="6" t="s">
        <v>206</v>
      </c>
    </row>
    <row r="37" spans="1:14">
      <c r="A37" t="s">
        <v>201</v>
      </c>
      <c r="B37" s="138">
        <v>1000</v>
      </c>
    </row>
    <row r="38" spans="1:14">
      <c r="A38" t="s">
        <v>195</v>
      </c>
      <c r="B38" t="s">
        <v>196</v>
      </c>
    </row>
    <row r="39" spans="1:14">
      <c r="A39" t="s">
        <v>202</v>
      </c>
      <c r="B39" s="98">
        <v>4000</v>
      </c>
    </row>
    <row r="40" spans="1:14" ht="17">
      <c r="A40" s="137" t="s">
        <v>197</v>
      </c>
      <c r="B40">
        <v>8.8999999999999996E-2</v>
      </c>
    </row>
    <row r="42" spans="1:14">
      <c r="A42" t="s">
        <v>198</v>
      </c>
      <c r="B42">
        <f>B39*B40</f>
        <v>356</v>
      </c>
    </row>
    <row r="43" spans="1:14">
      <c r="A43" t="s">
        <v>199</v>
      </c>
      <c r="B43" s="138">
        <f>B42+B37</f>
        <v>1356</v>
      </c>
    </row>
    <row r="44" spans="1:14">
      <c r="A44" t="s">
        <v>200</v>
      </c>
      <c r="B44" s="139">
        <f>2*B37+B42</f>
        <v>2356</v>
      </c>
    </row>
    <row r="46" spans="1:14">
      <c r="A46" s="20"/>
      <c r="B46" s="20"/>
      <c r="C46" s="20"/>
    </row>
  </sheetData>
  <phoneticPr fontId="3" type="noConversion"/>
  <pageMargins left="0.75" right="0.75" top="1" bottom="1" header="0.5" footer="0.5"/>
  <pageSetup scale="45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E32" sqref="E32"/>
    </sheetView>
  </sheetViews>
  <sheetFormatPr baseColWidth="10" defaultRowHeight="16" x14ac:dyDescent="0"/>
  <cols>
    <col min="1" max="1" width="21.875" customWidth="1"/>
    <col min="2" max="2" width="18.5" customWidth="1"/>
    <col min="4" max="5" width="14.625" customWidth="1"/>
    <col min="6" max="6" width="21.5" customWidth="1"/>
  </cols>
  <sheetData>
    <row r="1" spans="1:11">
      <c r="A1" s="6"/>
      <c r="B1" s="6" t="s">
        <v>143</v>
      </c>
      <c r="C1" s="6" t="s">
        <v>163</v>
      </c>
      <c r="D1" s="6" t="s">
        <v>167</v>
      </c>
      <c r="E1" s="6" t="s">
        <v>154</v>
      </c>
      <c r="F1" s="6" t="s">
        <v>158</v>
      </c>
      <c r="G1" s="6" t="s">
        <v>153</v>
      </c>
      <c r="H1" s="6" t="s">
        <v>152</v>
      </c>
      <c r="I1" s="6" t="s">
        <v>144</v>
      </c>
      <c r="J1" s="6" t="s">
        <v>145</v>
      </c>
      <c r="K1" s="6" t="s">
        <v>166</v>
      </c>
    </row>
    <row r="2" spans="1:11">
      <c r="A2" s="97" t="s">
        <v>157</v>
      </c>
      <c r="F2">
        <v>55</v>
      </c>
    </row>
    <row r="3" spans="1:11">
      <c r="A3" s="97" t="s">
        <v>156</v>
      </c>
      <c r="F3">
        <v>191</v>
      </c>
    </row>
    <row r="4" spans="1:11">
      <c r="A4" s="97"/>
    </row>
    <row r="5" spans="1:11">
      <c r="A5" s="97" t="s">
        <v>164</v>
      </c>
      <c r="D5">
        <v>854</v>
      </c>
    </row>
    <row r="7" spans="1:11">
      <c r="A7" t="s">
        <v>142</v>
      </c>
      <c r="B7" t="s">
        <v>182</v>
      </c>
      <c r="C7">
        <v>1</v>
      </c>
      <c r="D7">
        <f>D5</f>
        <v>854</v>
      </c>
      <c r="E7">
        <v>14</v>
      </c>
      <c r="F7">
        <f>$F$2</f>
        <v>55</v>
      </c>
      <c r="G7">
        <f>E7*F7</f>
        <v>770</v>
      </c>
      <c r="H7">
        <f>$C7*($D7+$G7)</f>
        <v>1624</v>
      </c>
    </row>
    <row r="9" spans="1:11">
      <c r="A9" s="99" t="s">
        <v>148</v>
      </c>
      <c r="B9" s="99" t="s">
        <v>181</v>
      </c>
      <c r="C9" s="99">
        <v>1</v>
      </c>
      <c r="D9" s="99"/>
      <c r="E9" s="99"/>
      <c r="F9" s="99"/>
      <c r="G9" s="99">
        <v>2000</v>
      </c>
      <c r="H9" s="99"/>
      <c r="I9" s="99"/>
      <c r="J9" s="99">
        <v>2000</v>
      </c>
      <c r="K9" s="99"/>
    </row>
    <row r="10" spans="1:11">
      <c r="A10" s="99"/>
      <c r="B10" s="99" t="s">
        <v>182</v>
      </c>
      <c r="C10" s="99">
        <v>1</v>
      </c>
      <c r="D10" s="99"/>
      <c r="E10" s="99"/>
      <c r="F10" s="99"/>
      <c r="G10" s="99">
        <v>2000</v>
      </c>
      <c r="H10" s="99"/>
      <c r="I10" s="99">
        <f>G10*C10</f>
        <v>2000</v>
      </c>
      <c r="J10" s="99"/>
      <c r="K10" s="99"/>
    </row>
    <row r="11" spans="1:11"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>
      <c r="A12" s="99" t="s">
        <v>168</v>
      </c>
      <c r="B12" s="99"/>
      <c r="C12" s="99"/>
      <c r="D12" s="99"/>
      <c r="E12" s="99"/>
      <c r="F12" s="99"/>
      <c r="G12" s="99"/>
      <c r="H12" s="99"/>
      <c r="I12" s="99">
        <f>I10</f>
        <v>2000</v>
      </c>
      <c r="J12" s="99">
        <f>J9</f>
        <v>2000</v>
      </c>
      <c r="K12" s="99">
        <f>SUM(H12:J12)</f>
        <v>4000</v>
      </c>
    </row>
    <row r="13" spans="1:11">
      <c r="A13" s="100" t="s">
        <v>169</v>
      </c>
      <c r="B13" s="100"/>
      <c r="C13" s="100"/>
      <c r="D13" s="100"/>
      <c r="E13" s="100"/>
      <c r="F13" s="100"/>
      <c r="G13" s="100"/>
      <c r="H13" s="100">
        <f>SUM(H7:H8)+SUM(H11:H11)</f>
        <v>1624</v>
      </c>
      <c r="I13" s="100">
        <f>SUM(I7:I8)+SUM(I11:I11)</f>
        <v>0</v>
      </c>
      <c r="J13" s="100">
        <f>SUM(J7:J8)+SUM(J11:J11)</f>
        <v>0</v>
      </c>
      <c r="K13" s="100">
        <f>SUM(H13:J13)</f>
        <v>1624</v>
      </c>
    </row>
    <row r="14" spans="1:1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>
        <f>SUM(K12:K13)</f>
        <v>5624</v>
      </c>
    </row>
    <row r="15" spans="1:11">
      <c r="G15" t="s">
        <v>62</v>
      </c>
      <c r="H15">
        <f>SUM(H7:H11)</f>
        <v>1624</v>
      </c>
      <c r="I15">
        <f>SUM(I7:I11)</f>
        <v>2000</v>
      </c>
      <c r="J15">
        <f>SUM(J7:J11)</f>
        <v>2000</v>
      </c>
      <c r="K15" s="6">
        <f>SUM(H15:J15)</f>
        <v>5624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 (2)</vt:lpstr>
      <vt:lpstr>EHA 2015 Dimensions budget</vt:lpstr>
      <vt:lpstr>v.05</vt:lpstr>
      <vt:lpstr>EHA travel</vt:lpstr>
      <vt:lpstr>Participant support</vt:lpstr>
      <vt:lpstr>UNAM travel</vt:lpstr>
      <vt:lpstr>Columbia travel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Parviez Hosseini</dc:creator>
  <cp:lastModifiedBy>Molly Turner</cp:lastModifiedBy>
  <cp:lastPrinted>2015-03-30T20:06:03Z</cp:lastPrinted>
  <dcterms:created xsi:type="dcterms:W3CDTF">2010-06-14T17:46:55Z</dcterms:created>
  <dcterms:modified xsi:type="dcterms:W3CDTF">2015-04-07T16:40:07Z</dcterms:modified>
</cp:coreProperties>
</file>